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A1EC7398-32AF-4D86-8ED5-E626A32D7A47}" xr6:coauthVersionLast="47" xr6:coauthVersionMax="47" xr10:uidLastSave="{00000000-0000-0000-0000-000000000000}"/>
  <bookViews>
    <workbookView xWindow="33795" yWindow="7920" windowWidth="21600" windowHeight="11385" tabRatio="837" firstSheet="4" activeTab="7" xr2:uid="{00000000-000D-0000-FFFF-FFFF00000000}"/>
  </bookViews>
  <sheets>
    <sheet name="Malka" sheetId="1" state="hidden" r:id="rId1"/>
    <sheet name="Šķelda" sheetId="2" state="hidden" r:id="rId2"/>
    <sheet name="Salīdzinājums" sheetId="5" state="hidden" r:id="rId3"/>
    <sheet name="Apkopojums" sheetId="15" state="hidden" r:id="rId4"/>
    <sheet name="Precizējumi" sheetId="26" r:id="rId5"/>
    <sheet name="KOPĀ" sheetId="22" r:id="rId6"/>
    <sheet name="Salīdzinājums min alga 700" sheetId="6" state="hidden" r:id="rId7"/>
    <sheet name="Salīdzinājums min alga 700_" sheetId="23" r:id="rId8"/>
    <sheet name="Salīdzinājums min alga 730" sheetId="24" r:id="rId9"/>
    <sheet name="Salīdzinājums min alga 750" sheetId="25" r:id="rId10"/>
    <sheet name="Salīdzinājums min alga 810" sheetId="27" r:id="rId11"/>
    <sheet name="Katli" sheetId="7" r:id="rId12"/>
    <sheet name="Īsais" sheetId="21" state="hidden" r:id="rId13"/>
    <sheet name="Algas" sheetId="11" state="hidden" r:id="rId14"/>
    <sheet name="Salīdzinājums 810" sheetId="20" state="hidden" r:id="rId15"/>
    <sheet name="Lapa1" sheetId="17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2" l="1"/>
  <c r="C8" i="7" l="1"/>
  <c r="B8" i="7"/>
  <c r="C11" i="22" l="1"/>
  <c r="E11" i="22"/>
  <c r="B11" i="22"/>
  <c r="C7" i="22"/>
  <c r="C9" i="22" s="1"/>
  <c r="D7" i="22"/>
  <c r="D9" i="22" s="1"/>
  <c r="E7" i="22"/>
  <c r="E9" i="22" s="1"/>
  <c r="F7" i="22"/>
  <c r="F11" i="22" s="1"/>
  <c r="B7" i="22"/>
  <c r="B9" i="22" s="1"/>
  <c r="C6" i="22"/>
  <c r="C8" i="22" s="1"/>
  <c r="D6" i="22"/>
  <c r="D8" i="22" s="1"/>
  <c r="E6" i="22"/>
  <c r="E8" i="22" s="1"/>
  <c r="F6" i="22"/>
  <c r="F8" i="22" s="1"/>
  <c r="B6" i="22"/>
  <c r="B8" i="22" s="1"/>
  <c r="F9" i="22" l="1"/>
  <c r="B19" i="17"/>
  <c r="A21" i="17" s="1"/>
  <c r="C26" i="6"/>
  <c r="C29" i="21"/>
  <c r="C30" i="21" s="1"/>
  <c r="I27" i="21"/>
  <c r="I18" i="21"/>
  <c r="I19" i="21" s="1"/>
  <c r="C18" i="21"/>
  <c r="C19" i="21" s="1"/>
  <c r="C7" i="21"/>
  <c r="C8" i="21" s="1"/>
  <c r="I5" i="21"/>
  <c r="L26" i="6"/>
  <c r="M72" i="11"/>
  <c r="O72" i="11" s="1"/>
  <c r="E72" i="11"/>
  <c r="G72" i="11" s="1"/>
  <c r="M70" i="11"/>
  <c r="N70" i="11" s="1"/>
  <c r="E70" i="11"/>
  <c r="F70" i="11" s="1"/>
  <c r="J68" i="11"/>
  <c r="F68" i="11"/>
  <c r="D68" i="11"/>
  <c r="G67" i="11"/>
  <c r="C67" i="11"/>
  <c r="E67" i="11" s="1"/>
  <c r="G66" i="11"/>
  <c r="C66" i="11"/>
  <c r="G65" i="11"/>
  <c r="C65" i="11"/>
  <c r="E65" i="11" s="1"/>
  <c r="G63" i="11"/>
  <c r="C63" i="11"/>
  <c r="G62" i="11"/>
  <c r="C62" i="11"/>
  <c r="E62" i="11" s="1"/>
  <c r="G61" i="11"/>
  <c r="C61" i="11"/>
  <c r="G60" i="11"/>
  <c r="C60" i="11"/>
  <c r="K57" i="11"/>
  <c r="M64" i="11" s="1"/>
  <c r="M54" i="11"/>
  <c r="O54" i="11" s="1"/>
  <c r="E54" i="11"/>
  <c r="G54" i="11" s="1"/>
  <c r="M52" i="11"/>
  <c r="N52" i="11" s="1"/>
  <c r="E52" i="11"/>
  <c r="F52" i="11" s="1"/>
  <c r="J50" i="11"/>
  <c r="F50" i="11"/>
  <c r="D50" i="11"/>
  <c r="G49" i="11"/>
  <c r="C49" i="11"/>
  <c r="E49" i="11" s="1"/>
  <c r="G48" i="11"/>
  <c r="C48" i="11"/>
  <c r="E48" i="11" s="1"/>
  <c r="G47" i="11"/>
  <c r="C47" i="11"/>
  <c r="E47" i="11" s="1"/>
  <c r="G45" i="11"/>
  <c r="C45" i="11"/>
  <c r="E45" i="11" s="1"/>
  <c r="G44" i="11"/>
  <c r="C44" i="11"/>
  <c r="G43" i="11"/>
  <c r="C43" i="11"/>
  <c r="G42" i="11"/>
  <c r="C42" i="11"/>
  <c r="E42" i="11" s="1"/>
  <c r="K39" i="11"/>
  <c r="M36" i="11"/>
  <c r="O36" i="11" s="1"/>
  <c r="E36" i="11"/>
  <c r="G36" i="11" s="1"/>
  <c r="M34" i="11"/>
  <c r="N34" i="11" s="1"/>
  <c r="E34" i="11"/>
  <c r="F34" i="11" s="1"/>
  <c r="J32" i="11"/>
  <c r="F32" i="11"/>
  <c r="D32" i="11"/>
  <c r="G31" i="11"/>
  <c r="E31" i="11"/>
  <c r="C31" i="11"/>
  <c r="G30" i="11"/>
  <c r="C30" i="11"/>
  <c r="G29" i="11"/>
  <c r="C29" i="11"/>
  <c r="E29" i="11" s="1"/>
  <c r="N28" i="11"/>
  <c r="G27" i="11"/>
  <c r="C27" i="11"/>
  <c r="E27" i="11" s="1"/>
  <c r="G26" i="11"/>
  <c r="C26" i="11"/>
  <c r="G25" i="11"/>
  <c r="C25" i="11"/>
  <c r="E25" i="11" s="1"/>
  <c r="G24" i="11"/>
  <c r="C24" i="11"/>
  <c r="K21" i="11"/>
  <c r="L29" i="11" s="1"/>
  <c r="N18" i="11"/>
  <c r="G18" i="11"/>
  <c r="N16" i="11"/>
  <c r="F16" i="11"/>
  <c r="J14" i="11"/>
  <c r="F14" i="11"/>
  <c r="D14" i="11"/>
  <c r="G13" i="11"/>
  <c r="C13" i="11"/>
  <c r="G12" i="11"/>
  <c r="C12" i="11"/>
  <c r="G11" i="11"/>
  <c r="C11" i="11"/>
  <c r="G9" i="11"/>
  <c r="C9" i="11"/>
  <c r="E9" i="11" s="1"/>
  <c r="G8" i="11"/>
  <c r="C8" i="11"/>
  <c r="E8" i="11" s="1"/>
  <c r="G7" i="11"/>
  <c r="C7" i="11"/>
  <c r="E7" i="11" s="1"/>
  <c r="G6" i="11"/>
  <c r="C6" i="11"/>
  <c r="E6" i="11" s="1"/>
  <c r="K2" i="11"/>
  <c r="L44" i="20"/>
  <c r="C44" i="20"/>
  <c r="D44" i="20" s="1"/>
  <c r="S43" i="20"/>
  <c r="R43" i="20"/>
  <c r="M43" i="20"/>
  <c r="D43" i="20"/>
  <c r="D42" i="20"/>
  <c r="M41" i="20"/>
  <c r="D41" i="20"/>
  <c r="M40" i="20"/>
  <c r="D40" i="20"/>
  <c r="M39" i="20"/>
  <c r="D39" i="20"/>
  <c r="M38" i="20"/>
  <c r="D38" i="20"/>
  <c r="M37" i="20"/>
  <c r="D37" i="20"/>
  <c r="M36" i="20"/>
  <c r="D36" i="20"/>
  <c r="M35" i="20"/>
  <c r="D35" i="20"/>
  <c r="M34" i="20"/>
  <c r="D34" i="20"/>
  <c r="M33" i="20"/>
  <c r="D33" i="20"/>
  <c r="M32" i="20"/>
  <c r="D32" i="20"/>
  <c r="M29" i="20"/>
  <c r="D29" i="20"/>
  <c r="M28" i="20"/>
  <c r="D28" i="20"/>
  <c r="M27" i="20"/>
  <c r="D27" i="20"/>
  <c r="M26" i="20"/>
  <c r="C26" i="20"/>
  <c r="D26" i="20" s="1"/>
  <c r="M25" i="20"/>
  <c r="D25" i="20"/>
  <c r="M24" i="20"/>
  <c r="D24" i="20"/>
  <c r="L23" i="20"/>
  <c r="C23" i="20"/>
  <c r="D23" i="20" s="1"/>
  <c r="L22" i="20"/>
  <c r="M22" i="20" s="1"/>
  <c r="C22" i="20"/>
  <c r="M21" i="20"/>
  <c r="D21" i="20"/>
  <c r="M20" i="20"/>
  <c r="D20" i="20"/>
  <c r="L19" i="20"/>
  <c r="C19" i="20"/>
  <c r="D19" i="20" s="1"/>
  <c r="L17" i="20"/>
  <c r="M17" i="20" s="1"/>
  <c r="C17" i="20"/>
  <c r="C18" i="20" s="1"/>
  <c r="M16" i="20"/>
  <c r="D16" i="20"/>
  <c r="M15" i="20"/>
  <c r="D15" i="20"/>
  <c r="M14" i="20"/>
  <c r="D14" i="20"/>
  <c r="D13" i="20"/>
  <c r="M12" i="20"/>
  <c r="D12" i="20"/>
  <c r="M11" i="20"/>
  <c r="D11" i="20"/>
  <c r="M10" i="20"/>
  <c r="D10" i="20"/>
  <c r="M9" i="20"/>
  <c r="D9" i="20"/>
  <c r="C14" i="7"/>
  <c r="B14" i="7"/>
  <c r="A13" i="17"/>
  <c r="B13" i="17" s="1"/>
  <c r="F42" i="15"/>
  <c r="E41" i="15"/>
  <c r="F38" i="15"/>
  <c r="F39" i="15" s="1"/>
  <c r="E37" i="15"/>
  <c r="E36" i="15"/>
  <c r="F31" i="15"/>
  <c r="E30" i="15"/>
  <c r="F27" i="15"/>
  <c r="F28" i="15" s="1"/>
  <c r="E26" i="15"/>
  <c r="E25" i="15"/>
  <c r="F20" i="15"/>
  <c r="E19" i="15"/>
  <c r="F16" i="15"/>
  <c r="F17" i="15" s="1"/>
  <c r="E15" i="15"/>
  <c r="E14" i="15"/>
  <c r="F9" i="15"/>
  <c r="E8" i="15"/>
  <c r="F5" i="15"/>
  <c r="F6" i="15" s="1"/>
  <c r="E4" i="15"/>
  <c r="E3" i="15"/>
  <c r="R43" i="6"/>
  <c r="S43" i="6"/>
  <c r="C4" i="7"/>
  <c r="C6" i="7" s="1"/>
  <c r="C7" i="7" s="1"/>
  <c r="B4" i="7"/>
  <c r="B6" i="7" s="1"/>
  <c r="B7" i="7" s="1"/>
  <c r="C3" i="7"/>
  <c r="C5" i="7" s="1"/>
  <c r="B3" i="7"/>
  <c r="B5" i="7" s="1"/>
  <c r="S30" i="20" l="1"/>
  <c r="I9" i="11"/>
  <c r="M48" i="11"/>
  <c r="M67" i="11"/>
  <c r="I31" i="11"/>
  <c r="M9" i="11"/>
  <c r="M24" i="11"/>
  <c r="C19" i="17"/>
  <c r="E19" i="17" s="1"/>
  <c r="F19" i="17" s="1"/>
  <c r="I11" i="11"/>
  <c r="K25" i="11"/>
  <c r="I30" i="11"/>
  <c r="M47" i="11"/>
  <c r="I26" i="11"/>
  <c r="I24" i="11"/>
  <c r="G14" i="11"/>
  <c r="I44" i="11"/>
  <c r="M25" i="11"/>
  <c r="L31" i="11"/>
  <c r="E44" i="11"/>
  <c r="I48" i="11"/>
  <c r="L25" i="11"/>
  <c r="M29" i="11"/>
  <c r="I42" i="11"/>
  <c r="M44" i="11"/>
  <c r="K48" i="11"/>
  <c r="L18" i="20"/>
  <c r="I63" i="11"/>
  <c r="K8" i="11"/>
  <c r="M8" i="11"/>
  <c r="M26" i="11"/>
  <c r="K6" i="11"/>
  <c r="K9" i="11"/>
  <c r="K27" i="11"/>
  <c r="M42" i="11"/>
  <c r="M66" i="11"/>
  <c r="M27" i="11"/>
  <c r="K31" i="11"/>
  <c r="I43" i="11"/>
  <c r="L12" i="11"/>
  <c r="E30" i="11"/>
  <c r="K30" i="11" s="1"/>
  <c r="K32" i="11" s="1"/>
  <c r="M18" i="20"/>
  <c r="R30" i="20"/>
  <c r="C30" i="20"/>
  <c r="L8" i="11"/>
  <c r="E11" i="11"/>
  <c r="M12" i="11"/>
  <c r="L24" i="11"/>
  <c r="E26" i="11"/>
  <c r="K26" i="11" s="1"/>
  <c r="L27" i="11"/>
  <c r="M30" i="11"/>
  <c r="M43" i="11"/>
  <c r="M45" i="11"/>
  <c r="I49" i="11"/>
  <c r="I61" i="11"/>
  <c r="K64" i="11"/>
  <c r="E43" i="11"/>
  <c r="K43" i="11" s="1"/>
  <c r="K7" i="11"/>
  <c r="I13" i="11"/>
  <c r="I45" i="11"/>
  <c r="K49" i="11"/>
  <c r="M61" i="11"/>
  <c r="S18" i="20"/>
  <c r="S45" i="20" s="1"/>
  <c r="M44" i="20"/>
  <c r="C32" i="11"/>
  <c r="L30" i="11"/>
  <c r="I47" i="11"/>
  <c r="M49" i="11"/>
  <c r="M50" i="11" s="1"/>
  <c r="M6" i="11"/>
  <c r="I27" i="11"/>
  <c r="L7" i="11"/>
  <c r="L11" i="11"/>
  <c r="L13" i="11"/>
  <c r="L26" i="11"/>
  <c r="K42" i="11"/>
  <c r="K47" i="11"/>
  <c r="I66" i="11"/>
  <c r="M7" i="11"/>
  <c r="M11" i="11"/>
  <c r="M13" i="11"/>
  <c r="I6" i="11"/>
  <c r="L9" i="11"/>
  <c r="I12" i="11"/>
  <c r="I25" i="11"/>
  <c r="M31" i="11"/>
  <c r="I62" i="11"/>
  <c r="K67" i="11"/>
  <c r="K65" i="11"/>
  <c r="E61" i="11"/>
  <c r="K61" i="11" s="1"/>
  <c r="L62" i="11"/>
  <c r="L64" i="11"/>
  <c r="E66" i="11"/>
  <c r="K66" i="11" s="1"/>
  <c r="I67" i="11"/>
  <c r="E63" i="11"/>
  <c r="K63" i="11" s="1"/>
  <c r="L67" i="11"/>
  <c r="C68" i="11"/>
  <c r="I60" i="11"/>
  <c r="L61" i="11"/>
  <c r="M63" i="11"/>
  <c r="M65" i="11"/>
  <c r="M68" i="11" s="1"/>
  <c r="I65" i="11"/>
  <c r="I68" i="11" s="1"/>
  <c r="L66" i="11"/>
  <c r="L60" i="11"/>
  <c r="K62" i="11"/>
  <c r="L63" i="11"/>
  <c r="M60" i="11"/>
  <c r="M62" i="11"/>
  <c r="I64" i="11"/>
  <c r="L65" i="11"/>
  <c r="G68" i="11"/>
  <c r="I7" i="21"/>
  <c r="I8" i="21" s="1"/>
  <c r="I29" i="21"/>
  <c r="I30" i="21" s="1"/>
  <c r="L42" i="11"/>
  <c r="C50" i="11"/>
  <c r="K44" i="11"/>
  <c r="K45" i="11"/>
  <c r="E50" i="11"/>
  <c r="I29" i="11"/>
  <c r="G32" i="11"/>
  <c r="L43" i="11"/>
  <c r="L44" i="11"/>
  <c r="L45" i="11"/>
  <c r="C14" i="11"/>
  <c r="G50" i="11"/>
  <c r="L6" i="11"/>
  <c r="E12" i="11"/>
  <c r="K12" i="11" s="1"/>
  <c r="E13" i="11"/>
  <c r="K13" i="11" s="1"/>
  <c r="E24" i="11"/>
  <c r="K24" i="11" s="1"/>
  <c r="L47" i="11"/>
  <c r="L48" i="11"/>
  <c r="L49" i="11"/>
  <c r="E60" i="11"/>
  <c r="K60" i="11" s="1"/>
  <c r="I7" i="11"/>
  <c r="N7" i="11" s="1"/>
  <c r="I8" i="11"/>
  <c r="R18" i="20"/>
  <c r="C45" i="20"/>
  <c r="E41" i="20" s="1"/>
  <c r="D17" i="20"/>
  <c r="D18" i="20" s="1"/>
  <c r="M19" i="20"/>
  <c r="D30" i="20"/>
  <c r="L30" i="20"/>
  <c r="D22" i="20"/>
  <c r="M23" i="20"/>
  <c r="B11" i="7"/>
  <c r="B12" i="7" s="1"/>
  <c r="E39" i="15"/>
  <c r="E28" i="15"/>
  <c r="E6" i="15"/>
  <c r="E17" i="15"/>
  <c r="C11" i="7"/>
  <c r="C12" i="7" s="1"/>
  <c r="N25" i="11" l="1"/>
  <c r="I14" i="11"/>
  <c r="N9" i="11"/>
  <c r="E32" i="11"/>
  <c r="E36" i="20"/>
  <c r="R45" i="20"/>
  <c r="N13" i="11"/>
  <c r="E38" i="20"/>
  <c r="E14" i="20"/>
  <c r="L32" i="11"/>
  <c r="L45" i="20"/>
  <c r="N41" i="20" s="1"/>
  <c r="E20" i="20"/>
  <c r="E34" i="20"/>
  <c r="E21" i="20"/>
  <c r="N48" i="11"/>
  <c r="M32" i="11"/>
  <c r="E12" i="20"/>
  <c r="E9" i="20"/>
  <c r="N31" i="11"/>
  <c r="I50" i="11"/>
  <c r="N42" i="11"/>
  <c r="E11" i="20"/>
  <c r="E40" i="20"/>
  <c r="E27" i="20"/>
  <c r="N11" i="11"/>
  <c r="E13" i="20"/>
  <c r="E29" i="20"/>
  <c r="N8" i="11"/>
  <c r="N27" i="11"/>
  <c r="N44" i="11"/>
  <c r="E42" i="20"/>
  <c r="E17" i="20"/>
  <c r="E15" i="20"/>
  <c r="E33" i="20"/>
  <c r="N6" i="11"/>
  <c r="N43" i="11"/>
  <c r="N26" i="11"/>
  <c r="E28" i="20"/>
  <c r="E23" i="20"/>
  <c r="E37" i="20"/>
  <c r="N60" i="11"/>
  <c r="K50" i="11"/>
  <c r="E32" i="20"/>
  <c r="E43" i="20"/>
  <c r="D48" i="20"/>
  <c r="N49" i="11"/>
  <c r="N45" i="11"/>
  <c r="N30" i="11"/>
  <c r="E19" i="20"/>
  <c r="N62" i="11"/>
  <c r="L50" i="11"/>
  <c r="N66" i="11"/>
  <c r="N24" i="11"/>
  <c r="N63" i="11"/>
  <c r="N61" i="11"/>
  <c r="N67" i="11"/>
  <c r="M14" i="11"/>
  <c r="L14" i="11"/>
  <c r="E68" i="11"/>
  <c r="N65" i="11"/>
  <c r="K68" i="11"/>
  <c r="L68" i="11"/>
  <c r="S42" i="11"/>
  <c r="T42" i="11" s="1"/>
  <c r="U42" i="11" s="1"/>
  <c r="J46" i="11" s="1"/>
  <c r="N46" i="11" s="1"/>
  <c r="K14" i="11"/>
  <c r="N29" i="11"/>
  <c r="I32" i="11"/>
  <c r="N12" i="11"/>
  <c r="E14" i="11"/>
  <c r="N47" i="11"/>
  <c r="D45" i="20"/>
  <c r="E16" i="20"/>
  <c r="E35" i="20"/>
  <c r="E25" i="20"/>
  <c r="E39" i="20"/>
  <c r="E22" i="20"/>
  <c r="E26" i="20"/>
  <c r="E24" i="20"/>
  <c r="E10" i="20"/>
  <c r="M48" i="20"/>
  <c r="N12" i="20"/>
  <c r="N22" i="20"/>
  <c r="N11" i="20"/>
  <c r="M30" i="20"/>
  <c r="L44" i="6"/>
  <c r="C44" i="6"/>
  <c r="D44" i="6" s="1"/>
  <c r="M43" i="6"/>
  <c r="D43" i="6"/>
  <c r="D42" i="6"/>
  <c r="M41" i="6"/>
  <c r="D41" i="6"/>
  <c r="M40" i="6"/>
  <c r="D40" i="6"/>
  <c r="M39" i="6"/>
  <c r="D39" i="6"/>
  <c r="M38" i="6"/>
  <c r="D38" i="6"/>
  <c r="M37" i="6"/>
  <c r="D37" i="6"/>
  <c r="M36" i="6"/>
  <c r="D36" i="6"/>
  <c r="M35" i="6"/>
  <c r="D35" i="6"/>
  <c r="M34" i="6"/>
  <c r="D34" i="6"/>
  <c r="M33" i="6"/>
  <c r="D33" i="6"/>
  <c r="M32" i="6"/>
  <c r="D32" i="6"/>
  <c r="M29" i="6"/>
  <c r="D29" i="6"/>
  <c r="M28" i="6"/>
  <c r="D28" i="6"/>
  <c r="M27" i="6"/>
  <c r="D27" i="6"/>
  <c r="D26" i="6"/>
  <c r="M25" i="6"/>
  <c r="D25" i="6"/>
  <c r="M24" i="6"/>
  <c r="D24" i="6"/>
  <c r="L23" i="6"/>
  <c r="M23" i="6" s="1"/>
  <c r="C23" i="6"/>
  <c r="L22" i="6"/>
  <c r="M22" i="6" s="1"/>
  <c r="C22" i="6"/>
  <c r="D22" i="6" s="1"/>
  <c r="D20" i="6"/>
  <c r="L19" i="6"/>
  <c r="C19" i="6"/>
  <c r="L17" i="6"/>
  <c r="M16" i="6"/>
  <c r="D16" i="6"/>
  <c r="M15" i="6"/>
  <c r="D15" i="6"/>
  <c r="M14" i="6"/>
  <c r="D14" i="6"/>
  <c r="D13" i="6"/>
  <c r="M12" i="6"/>
  <c r="D12" i="6"/>
  <c r="M11" i="6"/>
  <c r="M10" i="6"/>
  <c r="D10" i="6"/>
  <c r="M9" i="6"/>
  <c r="D9" i="6"/>
  <c r="C45" i="5"/>
  <c r="N32" i="11" l="1"/>
  <c r="N13" i="20"/>
  <c r="N28" i="20"/>
  <c r="N43" i="20"/>
  <c r="N29" i="20"/>
  <c r="N26" i="20"/>
  <c r="N15" i="20"/>
  <c r="N32" i="20"/>
  <c r="N44" i="20" s="1"/>
  <c r="N14" i="20"/>
  <c r="N33" i="20"/>
  <c r="N35" i="20"/>
  <c r="N17" i="20"/>
  <c r="N21" i="20"/>
  <c r="N24" i="20"/>
  <c r="N36" i="20"/>
  <c r="N20" i="20"/>
  <c r="N37" i="20"/>
  <c r="E18" i="20"/>
  <c r="N16" i="20"/>
  <c r="M45" i="20"/>
  <c r="N38" i="20"/>
  <c r="N25" i="20"/>
  <c r="N39" i="20"/>
  <c r="N19" i="20"/>
  <c r="N30" i="20" s="1"/>
  <c r="N27" i="20"/>
  <c r="N34" i="20"/>
  <c r="N23" i="20"/>
  <c r="N9" i="20"/>
  <c r="N40" i="20"/>
  <c r="N10" i="20"/>
  <c r="N50" i="11"/>
  <c r="S60" i="11"/>
  <c r="T60" i="11" s="1"/>
  <c r="U60" i="11" s="1"/>
  <c r="J64" i="11" s="1"/>
  <c r="N64" i="11" s="1"/>
  <c r="N68" i="11" s="1"/>
  <c r="E30" i="20"/>
  <c r="S6" i="11"/>
  <c r="T6" i="11" s="1"/>
  <c r="U6" i="11" s="1"/>
  <c r="J10" i="11" s="1"/>
  <c r="N10" i="11" s="1"/>
  <c r="N14" i="11" s="1"/>
  <c r="S24" i="11"/>
  <c r="T24" i="11" s="1"/>
  <c r="U24" i="11" s="1"/>
  <c r="E44" i="20"/>
  <c r="E45" i="20" s="1"/>
  <c r="L18" i="6"/>
  <c r="S18" i="6"/>
  <c r="R30" i="6"/>
  <c r="S30" i="6"/>
  <c r="L30" i="6"/>
  <c r="M19" i="6"/>
  <c r="M44" i="6"/>
  <c r="M21" i="6"/>
  <c r="C30" i="6"/>
  <c r="D30" i="6" s="1"/>
  <c r="D19" i="6"/>
  <c r="D23" i="6"/>
  <c r="M17" i="6"/>
  <c r="M18" i="6" s="1"/>
  <c r="M20" i="6"/>
  <c r="M26" i="6"/>
  <c r="D21" i="6"/>
  <c r="L45" i="5"/>
  <c r="M32" i="5"/>
  <c r="E11" i="5"/>
  <c r="M8" i="5"/>
  <c r="M33" i="5"/>
  <c r="M34" i="5"/>
  <c r="M35" i="5"/>
  <c r="M36" i="5"/>
  <c r="M37" i="5"/>
  <c r="M38" i="5"/>
  <c r="M39" i="5"/>
  <c r="M40" i="5"/>
  <c r="M41" i="5"/>
  <c r="M42" i="5"/>
  <c r="M44" i="5"/>
  <c r="M31" i="5"/>
  <c r="M23" i="5"/>
  <c r="M24" i="5"/>
  <c r="M26" i="5"/>
  <c r="M27" i="5"/>
  <c r="M28" i="5"/>
  <c r="M9" i="5"/>
  <c r="M10" i="5"/>
  <c r="M11" i="5"/>
  <c r="M13" i="5"/>
  <c r="M14" i="5"/>
  <c r="M15" i="5"/>
  <c r="L25" i="5"/>
  <c r="M25" i="5" s="1"/>
  <c r="L22" i="5"/>
  <c r="M22" i="5" s="1"/>
  <c r="L21" i="5"/>
  <c r="L20" i="5"/>
  <c r="M20" i="5" s="1"/>
  <c r="L19" i="5"/>
  <c r="M19" i="5" s="1"/>
  <c r="L18" i="5"/>
  <c r="L16" i="5"/>
  <c r="L17" i="5" s="1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E31" i="5"/>
  <c r="D31" i="5"/>
  <c r="E28" i="5"/>
  <c r="D28" i="5"/>
  <c r="E27" i="5"/>
  <c r="D27" i="5"/>
  <c r="E26" i="5"/>
  <c r="D26" i="5"/>
  <c r="C25" i="5"/>
  <c r="E25" i="5" s="1"/>
  <c r="E24" i="5"/>
  <c r="D24" i="5"/>
  <c r="E23" i="5"/>
  <c r="D23" i="5"/>
  <c r="C22" i="5"/>
  <c r="E22" i="5" s="1"/>
  <c r="C21" i="5"/>
  <c r="E21" i="5" s="1"/>
  <c r="C20" i="5"/>
  <c r="E20" i="5" s="1"/>
  <c r="C19" i="5"/>
  <c r="E19" i="5" s="1"/>
  <c r="C18" i="5"/>
  <c r="C16" i="5"/>
  <c r="E16" i="5" s="1"/>
  <c r="E15" i="5"/>
  <c r="D15" i="5"/>
  <c r="E14" i="5"/>
  <c r="D14" i="5"/>
  <c r="E13" i="5"/>
  <c r="D13" i="5"/>
  <c r="E12" i="5"/>
  <c r="D12" i="5"/>
  <c r="D11" i="5"/>
  <c r="E10" i="5"/>
  <c r="D10" i="5"/>
  <c r="E9" i="5"/>
  <c r="D9" i="5"/>
  <c r="E8" i="5"/>
  <c r="D8" i="5"/>
  <c r="D8" i="2"/>
  <c r="D9" i="2"/>
  <c r="D10" i="2"/>
  <c r="D11" i="2"/>
  <c r="D12" i="2"/>
  <c r="D13" i="2"/>
  <c r="D14" i="2"/>
  <c r="C15" i="2"/>
  <c r="D15" i="2" s="1"/>
  <c r="C17" i="2"/>
  <c r="D17" i="2" s="1"/>
  <c r="C18" i="2"/>
  <c r="D18" i="2" s="1"/>
  <c r="C19" i="2"/>
  <c r="D19" i="2" s="1"/>
  <c r="C20" i="2"/>
  <c r="D20" i="2" s="1"/>
  <c r="C21" i="2"/>
  <c r="D21" i="2" s="1"/>
  <c r="D22" i="2"/>
  <c r="D23" i="2"/>
  <c r="C24" i="2"/>
  <c r="D24" i="2" s="1"/>
  <c r="D25" i="2"/>
  <c r="D26" i="2"/>
  <c r="D27" i="2"/>
  <c r="D30" i="2"/>
  <c r="C31" i="2"/>
  <c r="C43" i="2" s="1"/>
  <c r="D32" i="2"/>
  <c r="D33" i="2"/>
  <c r="D34" i="2"/>
  <c r="D35" i="2"/>
  <c r="D36" i="2"/>
  <c r="D37" i="2"/>
  <c r="D38" i="2"/>
  <c r="D39" i="2"/>
  <c r="D40" i="2"/>
  <c r="D41" i="2"/>
  <c r="D42" i="2"/>
  <c r="N18" i="20" l="1"/>
  <c r="N45" i="20"/>
  <c r="L45" i="6"/>
  <c r="N24" i="6" s="1"/>
  <c r="S45" i="6"/>
  <c r="E18" i="5"/>
  <c r="E29" i="5" s="1"/>
  <c r="C29" i="5"/>
  <c r="M30" i="6"/>
  <c r="D19" i="5"/>
  <c r="D25" i="5"/>
  <c r="E45" i="5"/>
  <c r="L29" i="5"/>
  <c r="L46" i="5" s="1"/>
  <c r="D21" i="5"/>
  <c r="D32" i="5"/>
  <c r="D18" i="5"/>
  <c r="D45" i="5"/>
  <c r="M16" i="5"/>
  <c r="M17" i="5" s="1"/>
  <c r="M18" i="5"/>
  <c r="M21" i="5"/>
  <c r="M45" i="5"/>
  <c r="E17" i="5"/>
  <c r="D16" i="5"/>
  <c r="D17" i="5" s="1"/>
  <c r="C17" i="5"/>
  <c r="D22" i="5"/>
  <c r="D20" i="5"/>
  <c r="D43" i="2"/>
  <c r="D31" i="2"/>
  <c r="C28" i="2"/>
  <c r="D28" i="2" s="1"/>
  <c r="D16" i="2"/>
  <c r="C16" i="2"/>
  <c r="E43" i="1"/>
  <c r="E44" i="1"/>
  <c r="E33" i="1"/>
  <c r="E34" i="1"/>
  <c r="E35" i="1"/>
  <c r="E36" i="1"/>
  <c r="E37" i="1"/>
  <c r="E38" i="1"/>
  <c r="E39" i="1"/>
  <c r="E40" i="1"/>
  <c r="E41" i="1"/>
  <c r="E42" i="1"/>
  <c r="E31" i="1"/>
  <c r="E23" i="1"/>
  <c r="E24" i="1"/>
  <c r="E26" i="1"/>
  <c r="E27" i="1"/>
  <c r="E28" i="1"/>
  <c r="E9" i="1"/>
  <c r="E10" i="1"/>
  <c r="E11" i="1"/>
  <c r="E12" i="1"/>
  <c r="E13" i="1"/>
  <c r="E14" i="1"/>
  <c r="E15" i="1"/>
  <c r="E8" i="1"/>
  <c r="D41" i="1"/>
  <c r="D44" i="1"/>
  <c r="D43" i="1"/>
  <c r="D42" i="1"/>
  <c r="D40" i="1"/>
  <c r="D39" i="1"/>
  <c r="D38" i="1"/>
  <c r="D37" i="1"/>
  <c r="D36" i="1"/>
  <c r="D35" i="1"/>
  <c r="D34" i="1"/>
  <c r="D33" i="1"/>
  <c r="C32" i="1"/>
  <c r="C45" i="1" s="1"/>
  <c r="D45" i="1" s="1"/>
  <c r="D31" i="1"/>
  <c r="D28" i="1"/>
  <c r="D27" i="1"/>
  <c r="D26" i="1"/>
  <c r="C25" i="1"/>
  <c r="E25" i="1" s="1"/>
  <c r="D24" i="1"/>
  <c r="D23" i="1"/>
  <c r="C22" i="1"/>
  <c r="D22" i="1" s="1"/>
  <c r="C21" i="1"/>
  <c r="D21" i="1" s="1"/>
  <c r="C20" i="1"/>
  <c r="D20" i="1" s="1"/>
  <c r="C19" i="1"/>
  <c r="E19" i="1" s="1"/>
  <c r="C18" i="1"/>
  <c r="D18" i="1" s="1"/>
  <c r="C16" i="1"/>
  <c r="C17" i="1" s="1"/>
  <c r="D15" i="1"/>
  <c r="D14" i="1"/>
  <c r="D13" i="1"/>
  <c r="D12" i="1"/>
  <c r="D11" i="1"/>
  <c r="D10" i="1"/>
  <c r="D9" i="1"/>
  <c r="D8" i="1"/>
  <c r="N10" i="6" l="1"/>
  <c r="N22" i="6"/>
  <c r="N25" i="6"/>
  <c r="N16" i="6"/>
  <c r="N13" i="6"/>
  <c r="M48" i="6"/>
  <c r="N40" i="6"/>
  <c r="N39" i="6"/>
  <c r="M45" i="6"/>
  <c r="N27" i="6"/>
  <c r="N33" i="6"/>
  <c r="N15" i="6"/>
  <c r="N43" i="6"/>
  <c r="N9" i="6"/>
  <c r="N36" i="6"/>
  <c r="N23" i="6"/>
  <c r="N35" i="6"/>
  <c r="N32" i="6"/>
  <c r="N28" i="6"/>
  <c r="N21" i="6"/>
  <c r="N34" i="6"/>
  <c r="N19" i="6"/>
  <c r="N20" i="6"/>
  <c r="N14" i="6"/>
  <c r="N29" i="6"/>
  <c r="N17" i="6"/>
  <c r="N37" i="6"/>
  <c r="N26" i="6"/>
  <c r="N12" i="6"/>
  <c r="E21" i="1"/>
  <c r="N11" i="6"/>
  <c r="N38" i="6"/>
  <c r="N41" i="6"/>
  <c r="D11" i="6"/>
  <c r="C17" i="6"/>
  <c r="D17" i="6" s="1"/>
  <c r="E32" i="1"/>
  <c r="D32" i="1"/>
  <c r="E46" i="5"/>
  <c r="C46" i="5"/>
  <c r="D46" i="5" s="1"/>
  <c r="E16" i="1"/>
  <c r="M46" i="5"/>
  <c r="N36" i="5"/>
  <c r="N37" i="5"/>
  <c r="N31" i="5"/>
  <c r="N26" i="5"/>
  <c r="N13" i="5"/>
  <c r="N40" i="5"/>
  <c r="N16" i="5"/>
  <c r="N22" i="5"/>
  <c r="N34" i="5"/>
  <c r="N44" i="5"/>
  <c r="N11" i="5"/>
  <c r="N38" i="5"/>
  <c r="N19" i="5"/>
  <c r="N27" i="5"/>
  <c r="N14" i="5"/>
  <c r="N32" i="5"/>
  <c r="N18" i="5"/>
  <c r="N33" i="5"/>
  <c r="N8" i="5"/>
  <c r="N23" i="5"/>
  <c r="N35" i="5"/>
  <c r="N25" i="5"/>
  <c r="N12" i="5"/>
  <c r="N39" i="5"/>
  <c r="N20" i="5"/>
  <c r="N28" i="5"/>
  <c r="N15" i="5"/>
  <c r="N21" i="5"/>
  <c r="N41" i="5"/>
  <c r="N9" i="5"/>
  <c r="N42" i="5"/>
  <c r="N10" i="5"/>
  <c r="N24" i="5"/>
  <c r="M29" i="5"/>
  <c r="D29" i="5"/>
  <c r="E22" i="1"/>
  <c r="E20" i="1"/>
  <c r="D19" i="1"/>
  <c r="D25" i="1"/>
  <c r="E18" i="1"/>
  <c r="C29" i="1"/>
  <c r="C44" i="2"/>
  <c r="D44" i="2" s="1"/>
  <c r="E31" i="2" s="1"/>
  <c r="D16" i="1"/>
  <c r="D17" i="1" s="1"/>
  <c r="D18" i="6" l="1"/>
  <c r="N18" i="6"/>
  <c r="N30" i="6"/>
  <c r="N44" i="6"/>
  <c r="C18" i="6"/>
  <c r="C45" i="6" s="1"/>
  <c r="E14" i="6" s="1"/>
  <c r="R18" i="6"/>
  <c r="R45" i="6" s="1"/>
  <c r="N45" i="6"/>
  <c r="N29" i="5"/>
  <c r="N46" i="5" s="1"/>
  <c r="N45" i="5"/>
  <c r="N17" i="5"/>
  <c r="E13" i="2"/>
  <c r="E14" i="2"/>
  <c r="E18" i="2"/>
  <c r="E22" i="2"/>
  <c r="E25" i="2"/>
  <c r="E38" i="2"/>
  <c r="E20" i="2"/>
  <c r="E9" i="2"/>
  <c r="E41" i="2"/>
  <c r="E30" i="2"/>
  <c r="E12" i="2"/>
  <c r="E36" i="2"/>
  <c r="E33" i="2"/>
  <c r="E40" i="2"/>
  <c r="E15" i="2"/>
  <c r="E37" i="2"/>
  <c r="E26" i="2"/>
  <c r="E42" i="2"/>
  <c r="E11" i="2"/>
  <c r="E19" i="2"/>
  <c r="E32" i="2"/>
  <c r="E27" i="2"/>
  <c r="E10" i="2"/>
  <c r="E34" i="2"/>
  <c r="E24" i="2"/>
  <c r="E8" i="2"/>
  <c r="E39" i="2"/>
  <c r="E23" i="2"/>
  <c r="E35" i="2"/>
  <c r="E17" i="2"/>
  <c r="E21" i="2"/>
  <c r="C46" i="1"/>
  <c r="D46" i="1" s="1"/>
  <c r="D29" i="1"/>
  <c r="E17" i="1"/>
  <c r="E29" i="1"/>
  <c r="E45" i="1"/>
  <c r="E46" i="1" s="1"/>
  <c r="E13" i="6" l="1"/>
  <c r="E35" i="6"/>
  <c r="E17" i="6"/>
  <c r="E20" i="6"/>
  <c r="E25" i="6"/>
  <c r="E42" i="6"/>
  <c r="E12" i="6"/>
  <c r="E26" i="6"/>
  <c r="E32" i="6"/>
  <c r="E34" i="6"/>
  <c r="E41" i="6"/>
  <c r="E29" i="6"/>
  <c r="E43" i="2"/>
  <c r="E16" i="2"/>
  <c r="E9" i="6"/>
  <c r="E43" i="6"/>
  <c r="E11" i="6"/>
  <c r="E33" i="6"/>
  <c r="E24" i="6"/>
  <c r="E38" i="6"/>
  <c r="E39" i="6"/>
  <c r="D48" i="6"/>
  <c r="D45" i="6"/>
  <c r="E22" i="6"/>
  <c r="E21" i="6"/>
  <c r="E19" i="6"/>
  <c r="E37" i="6"/>
  <c r="E40" i="6"/>
  <c r="E16" i="6"/>
  <c r="E23" i="6"/>
  <c r="E28" i="6"/>
  <c r="E27" i="6"/>
  <c r="E10" i="6"/>
  <c r="E15" i="6"/>
  <c r="E36" i="6"/>
  <c r="E28" i="2"/>
  <c r="E44" i="2" l="1"/>
  <c r="E30" i="6"/>
  <c r="E44" i="6"/>
  <c r="E18" i="6"/>
  <c r="E45" i="6"/>
</calcChain>
</file>

<file path=xl/sharedStrings.xml><?xml version="1.0" encoding="utf-8"?>
<sst xmlns="http://schemas.openxmlformats.org/spreadsheetml/2006/main" count="1191" uniqueCount="200">
  <si>
    <t>Lejasciema pagasta pārvalde, Lejasciema ciems, Rūpnieku iela 1</t>
  </si>
  <si>
    <t>Siltumenerģijas apgādes pakalpojuma tarifa aprēķināšana</t>
  </si>
  <si>
    <t>Maksas pakalpojumu veids: apkure par 1 MWh mēnesī</t>
  </si>
  <si>
    <t>Izdevumi: 1 gads</t>
  </si>
  <si>
    <t>Izdevumu klasifikācijas kods</t>
  </si>
  <si>
    <t>Rādītājs (materiāla, izejvielas nosaukums, atlīdzība un citi izmaksu veidi)</t>
  </si>
  <si>
    <t>Izmaksu apjoms noteiktā laikposmā viena maksas pakalpojuma veida nodrošināšanai, bez PVN</t>
  </si>
  <si>
    <t>Atsevišķo komponenšu izdalījums (EUR/MWh)</t>
  </si>
  <si>
    <t>Atsevišķo komponenšu izdalījums (%)</t>
  </si>
  <si>
    <t>Piezīmes</t>
  </si>
  <si>
    <t>Tiešās izmaksas</t>
  </si>
  <si>
    <t>Darba alga lietvedei 0,1 likme (7 mēneši)</t>
  </si>
  <si>
    <t>Darba alga grāmatvedības uzskaitvede 0,1 likme (7 mēneši)</t>
  </si>
  <si>
    <t>Darba alga apkures iekārtas operatoriem (4 operatori) (7 mēneši)</t>
  </si>
  <si>
    <t>Darba alga komunālās saimniecības vadītājam 0,2 likme (7 mēneši)</t>
  </si>
  <si>
    <t>Darba alga remontstrādiekam malkas sagatavošanai pirms apkures sezonas uzsākšanas (2 strādnieki) (160 stundas)</t>
  </si>
  <si>
    <t>Darba alga pārvaldes vadītājam 1 stunda mēnesī (7 mēneši)</t>
  </si>
  <si>
    <t>Darba alga vecākajam ekspertam energopārvaldībā 2 stundas apkures sezonā</t>
  </si>
  <si>
    <t>Darba alga finanšu ekonomistei 2 stundas apkures sezonā</t>
  </si>
  <si>
    <t>Valsts sociālās apdrošināšanas obligātās iemaksas darbiniekiem (23,59%)</t>
  </si>
  <si>
    <t>Algu izmaksas kopā:</t>
  </si>
  <si>
    <t>Izdevumi par sakaru pakalpojumiem</t>
  </si>
  <si>
    <t>Attālinātā uzkaites sistēma METLINK</t>
  </si>
  <si>
    <t>Izdevumi par ūdensapgādi un kanalizāciju</t>
  </si>
  <si>
    <t>Elektroenerģija (Mainīgais)</t>
  </si>
  <si>
    <t>Elektroenerģijas (Konstantais)</t>
  </si>
  <si>
    <t>Iekārtas, inventāra remontdarbi</t>
  </si>
  <si>
    <t>t.sk. apkures katla tehniskā apkope,  skursteņa tīrīšana</t>
  </si>
  <si>
    <t>Izdevumi par dažādām precēm un inventāru</t>
  </si>
  <si>
    <t>Darba apģērbs</t>
  </si>
  <si>
    <t>Kurināmais, malka</t>
  </si>
  <si>
    <t>Degviela</t>
  </si>
  <si>
    <t>280 litri apkures sezonai</t>
  </si>
  <si>
    <t>Kārtējā remonta un iestāžu uzturēšanas materiāli</t>
  </si>
  <si>
    <t>Remontmateriāli zāģim, darba cimdi, tīrīšanas līdzekļi un saimniecības preces</t>
  </si>
  <si>
    <t>Budžeta iestāžu dabas resursu nodokļa maksājumi</t>
  </si>
  <si>
    <t>Tiešās izmaksas bez algas kopā:</t>
  </si>
  <si>
    <t>Netiešās izmaksas</t>
  </si>
  <si>
    <t>Katlu māja (Rūpnieku ielā 1), iegādāts 31.01.2006., iegādes vērtība 26 161,65, nolietojuma likme gadā 1,28000%</t>
  </si>
  <si>
    <r>
      <t>Siltumskaitītājs DN20 2,5M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/h, iegādāts 22.09.2017., iegādes vērtība 932,49, nolietojuma likme gadā 10,0000%</t>
    </r>
  </si>
  <si>
    <r>
      <t>Siltumskaitītājs DN20 2,5M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/h, iegādāts 22.09.2017., iegādes vērtība 932,47, nolietojuma likme gadā 10,0000%</t>
    </r>
  </si>
  <si>
    <r>
      <t>Siltumskaitītājs DN20 2,5M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/h, iegādāts 22.09.2017., iegādes vērtība 932,48, nolietojuma likme gadā 10,0000%</t>
    </r>
  </si>
  <si>
    <t>Sūknis Alpha2 25-60 Grundfos, iegādāts 26.10.2018., iegādes vērtība 356,64, nolietojuma likme gadā 10,0000%</t>
  </si>
  <si>
    <r>
      <t>Siltumenerģijas skaitītājs SonoMeter 3Qn=2,5m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/h ar balansēšanas vārstu, iegādāts 26.10.2018., iegādes vērtība 1296,48, nolietojuma likme gadā 10,0000%</t>
    </r>
  </si>
  <si>
    <r>
      <t>Siltumenerģijas skaitītājs SonoMeter 3Qn=2,5m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/h ar balansēšanas vārstu, iegādāts 26.10.2018., iegādes vērtība 790,11, nolietojuma likme gadā 10,0000%</t>
    </r>
  </si>
  <si>
    <r>
      <t>Siltumenerģijas skaitītājs SonoMeter 3Qn=6m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/h ar balansēšanas vārstu, iegādāts 26.10.2018., iegādes vērtība 917,21, nolietojuma likme gadā 10,0000%</t>
    </r>
  </si>
  <si>
    <r>
      <t>Siltumenerģijas skaitītājs SonoMeter 3Qn=6m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/h, iegādāts 26.10.2018., iegādes vērtība 815,48, nolietojuma likme gadā 10,0000%</t>
    </r>
  </si>
  <si>
    <t>Siltumenerģijas skaitītājs Diehl SHARKY 775, iegādāts 17.07.2019., iegādes vērtība 2717,33, nolietojuma likme gadā 10,0000%</t>
  </si>
  <si>
    <t>Motorzāģis Husqvarna 560 XP, iegādāts 31.05.2016., iegādes vērtība 789,00, nolietojuma likme gadā 10,8108%</t>
  </si>
  <si>
    <t>Procentu maksājumi Valsts kasei gadā par aizņēmumu (Aizņēmums uz 10 gadi)</t>
  </si>
  <si>
    <t>Netiešās izmaksas kopā:</t>
  </si>
  <si>
    <t>Pakalpojuma izmaksas kopā:</t>
  </si>
  <si>
    <r>
      <t xml:space="preserve">Maksas pakalpojuma izcenojums bez PVN (euro) par </t>
    </r>
    <r>
      <rPr>
        <b/>
        <sz val="14"/>
        <color theme="1"/>
        <rFont val="Times New Roman"/>
        <family val="1"/>
        <charset val="186"/>
      </rPr>
      <t>1 MWh</t>
    </r>
    <r>
      <rPr>
        <sz val="14"/>
        <color theme="1"/>
        <rFont val="Times New Roman"/>
        <family val="1"/>
        <charset val="186"/>
      </rPr>
      <t xml:space="preserve"> (pakalpojuma izmaksas kopā dalītas ar maksas pakalpojuma vienību skaitu noteiktā laikposmā)</t>
    </r>
  </si>
  <si>
    <t>Malkas apkures katla nolietojums (derīgās lietošanas laiks 10 gadi, aptuvenā iegādes un uzstādīšanas vērtība 100 000,00)</t>
  </si>
  <si>
    <t>Darba alga apkures iekārtas operatoram (1 operators) (7 mēneši)</t>
  </si>
  <si>
    <t>Kurināmais, šķelda</t>
  </si>
  <si>
    <t>Darba cimdi, tīrīšanas līdzekļi un saimniecības preces</t>
  </si>
  <si>
    <t>Šķeldas apkures katla nolietojums (derīgās lietošanas laiks 10 gadi, aptuvenā iegādes un uzstādīšanas vērtība 390 000,00)</t>
  </si>
  <si>
    <t>Šķeldas apkures katla nolietojums (derīgās lietošanas laiks 10 gadi, iespējamā uzskaites vērtība 316811,87 EUR)</t>
  </si>
  <si>
    <t>Procentu maksājumi Valsts kasei gadā par aizņēmumu (Aizņēmums uz 10 gadiem)</t>
  </si>
  <si>
    <r>
      <t xml:space="preserve">Maksas pakalpojuma izcenojums bez PVN (euro) par </t>
    </r>
    <r>
      <rPr>
        <b/>
        <sz val="14"/>
        <color theme="1"/>
        <rFont val="Times New Roman"/>
        <family val="1"/>
        <charset val="186"/>
      </rPr>
      <t>1 MWh</t>
    </r>
    <r>
      <rPr>
        <sz val="14"/>
        <color theme="1"/>
        <rFont val="Times New Roman"/>
        <family val="1"/>
        <charset val="186"/>
      </rPr>
      <t xml:space="preserve"> (pakalpojuma izmaksas kopā dalītas ar maksas pakalpojuma vienību skaitu noteiktā laikposmā). Patērētājam nodotā siltumenerģija  - 1100 mWh</t>
    </r>
  </si>
  <si>
    <t>Darba alga apkures iekārtas operatoram (1 operators, 7,2 mēneši)</t>
  </si>
  <si>
    <t>Kurināmais - šķelda (1625 m3, cena 25 EUR bez PVN)</t>
  </si>
  <si>
    <t>Iekārtas, inventāra remontdarbi (apkures katla tehniskā apkope,  skursteņa tīrīšana)</t>
  </si>
  <si>
    <t>Iekārtas, inventāra remontdarbi (apkures katla tehniskā apkope 2201 EUR gadā,  skursteņa tīrīšana)</t>
  </si>
  <si>
    <t>Degviela (280 l malkas sagatavošanai apkures sezonai)</t>
  </si>
  <si>
    <t>Kurināmais - malka (vidējais patēriņš 1200 m3, viena m3 malkas pieņemtās izmaksas 45 EUR)</t>
  </si>
  <si>
    <t>Kārtējā remonta un iestāžu uzturēšanas materiāli (remontmateriāli zāģim, darba cimdi, tīrīšanas līdzekļi un saimniecības preces)</t>
  </si>
  <si>
    <t>Darba alga remontstrādiekam malkas sagatavošanai - 160 stundas</t>
  </si>
  <si>
    <t>Cena EUR bez PVN</t>
  </si>
  <si>
    <t>priekšnodoklis</t>
  </si>
  <si>
    <t>Apkures katla vērtība grāmatvedības uzskaitē, EUR</t>
  </si>
  <si>
    <t>EUR</t>
  </si>
  <si>
    <t>Aizņēmums</t>
  </si>
  <si>
    <t>Oktobris</t>
  </si>
  <si>
    <t>Novembris</t>
  </si>
  <si>
    <t>Decembris</t>
  </si>
  <si>
    <t>Janvāris</t>
  </si>
  <si>
    <t xml:space="preserve">Februāris </t>
  </si>
  <si>
    <t>Marts</t>
  </si>
  <si>
    <t>Aprīlis</t>
  </si>
  <si>
    <t>Stundu skaits mēnesī</t>
  </si>
  <si>
    <t>Darba stundu skaits mēnesī</t>
  </si>
  <si>
    <t>Virsstundu skaits mēnesī</t>
  </si>
  <si>
    <t>Svētku stundu skaits mēnesī</t>
  </si>
  <si>
    <t>Nakts stundu skaits mēnesī</t>
  </si>
  <si>
    <t>Transporta pakalpojumi (šķeldas pārvietošana)</t>
  </si>
  <si>
    <t>2025.gads</t>
  </si>
  <si>
    <t>Min.alga</t>
  </si>
  <si>
    <t>Normālo st.skaits</t>
  </si>
  <si>
    <t>Stundas likme</t>
  </si>
  <si>
    <t>Pamatalga</t>
  </si>
  <si>
    <t>KOPĀ</t>
  </si>
  <si>
    <t>Piemaksa par virsstundām 100 %</t>
  </si>
  <si>
    <t>Piemaksa par svētku stundām 100 %</t>
  </si>
  <si>
    <t>Piemaksa par nakts stundām 50%</t>
  </si>
  <si>
    <t>Apkures iekārtu operators</t>
  </si>
  <si>
    <t>Malkas sagatavošana</t>
  </si>
  <si>
    <t xml:space="preserve">remontstrādnieks </t>
  </si>
  <si>
    <r>
      <t>Kurināmais - šķelda (1921m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, cena 22 EUR bez PVN)</t>
    </r>
  </si>
  <si>
    <r>
      <t>Kurināmais - malka (vidējais patēriņš 1200 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, viena 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 xml:space="preserve"> malkas pieņemtās izmaksas 45 EUR)</t>
    </r>
  </si>
  <si>
    <t>Šķeldas katls - saimniecības pārzinis</t>
  </si>
  <si>
    <t>Darba alga apkures iekārtas operatoriem (4 operatori - minimālā alga, 7 mēneši, kompensācija par neizmantoto atvaļinājumu)</t>
  </si>
  <si>
    <t>Darba alga saimniecības pārzinim (likme 840 EUR, 7 mēneši, kompensācija par neizmantoto atvaļinājumu)</t>
  </si>
  <si>
    <t>PVN (pakalpojuma nodrošināšana 35 %)</t>
  </si>
  <si>
    <t>PVN (pašvaldības iestādes 65 %)</t>
  </si>
  <si>
    <t>lietderīgās lietošanas laiks 10 gadi</t>
  </si>
  <si>
    <t>Apkures katla cena bez PVN</t>
  </si>
  <si>
    <t>PRIORITĀRĀ AIZŅĒMUMA IZMAKSAS</t>
  </si>
  <si>
    <t>Pašu daļa 15%</t>
  </si>
  <si>
    <t>Procentu izdevumi - vidēji gadā (tarifā iekļaujamā summa)</t>
  </si>
  <si>
    <t xml:space="preserve">pieaugums </t>
  </si>
  <si>
    <t>Sezonā</t>
  </si>
  <si>
    <t>Kompensācija par neizmantoto atvaļinājumu 4  darbiniekiem</t>
  </si>
  <si>
    <t>MALKAS KATLS</t>
  </si>
  <si>
    <t>ŠĶELDAS KATLS</t>
  </si>
  <si>
    <t>Darbaspēka izmaksas, EUR</t>
  </si>
  <si>
    <t>Amata likmes</t>
  </si>
  <si>
    <t>Algas likme</t>
  </si>
  <si>
    <t>Atalgojums - izdevumi sezonā</t>
  </si>
  <si>
    <t>Atlīdzība (atalgojums + DD VSAOI) gadā</t>
  </si>
  <si>
    <t xml:space="preserve">Atlīdzība (atalgojums + DD VSAOI) gadā </t>
  </si>
  <si>
    <t>Apkures iekārtu operatori</t>
  </si>
  <si>
    <t>Remontstrādnieks (malkas sagatavošana)</t>
  </si>
  <si>
    <t>160 stundas</t>
  </si>
  <si>
    <t>Saimniecības pārzinis, kas darbojas ar šķeldas katlu, sezonā</t>
  </si>
  <si>
    <t>Darbaspēka izmaksas kopā</t>
  </si>
  <si>
    <t>Kurināmā izmaksas</t>
  </si>
  <si>
    <t>Daudzums, m3</t>
  </si>
  <si>
    <t>Summa EUR</t>
  </si>
  <si>
    <t>Malka</t>
  </si>
  <si>
    <t>Šķelda</t>
  </si>
  <si>
    <t>Maksas pakalpojuma izcenojums bez PVN (euro) par 1 MWh (pakalpojuma izmaksas kopā dalītas ar maksas pakalpojuma vienību skaitu noteiktā laikposmā). Patērētājam nodotā siltumenerģija  - 1100 mWh</t>
  </si>
  <si>
    <t>remontstrādnieks 160 stundas</t>
  </si>
  <si>
    <t>Procentu izdevumi kopā
(fiksētā likme 3,826 %, 10 gadi)</t>
  </si>
  <si>
    <t>Malkas cena</t>
  </si>
  <si>
    <t>Šķeldas cena</t>
  </si>
  <si>
    <t>Tarifs malkas apkurei</t>
  </si>
  <si>
    <t>Tarifs šķeldas apkurei</t>
  </si>
  <si>
    <t>MALKAS APKURE</t>
  </si>
  <si>
    <t>ŠĶELDAS APKURE</t>
  </si>
  <si>
    <t>Degviela (280 l malkas sagatavošanai apkures sezonai), eļļa zāģim</t>
  </si>
  <si>
    <t>Iekārtas, inventāra remontdarbi (apkures katla tehniskā apkope 2163,33 EUR gadā)</t>
  </si>
  <si>
    <t>Iekārtas, inventāra remontdarbi (apkures katla tehniskā apkope 2201 EUR gadā)</t>
  </si>
  <si>
    <t>Malkas apkures katla nolietojums (derīgās lietošanas laiks 10 gadi, iespējamā iegādes un uzstādīšanas vērtība 35650,19)</t>
  </si>
  <si>
    <t>Malkas apkures katls, EUR</t>
  </si>
  <si>
    <t>Šķeldas apkures katls, EUR</t>
  </si>
  <si>
    <t xml:space="preserve">Šķeldas katls - saimniecības pārzinis </t>
  </si>
  <si>
    <t xml:space="preserve">APKOPE - izmaksas gadā </t>
  </si>
  <si>
    <t>saskaņā ar iepirkumu</t>
  </si>
  <si>
    <t>Stundas apkures sezonā</t>
  </si>
  <si>
    <t>Amats</t>
  </si>
  <si>
    <t>Remontstrādnieks</t>
  </si>
  <si>
    <t>Saimniecības pārzinis</t>
  </si>
  <si>
    <t>DD VSAOI</t>
  </si>
  <si>
    <t>Darbaspēka tiešās izmaksas malkas apkurei sezonā</t>
  </si>
  <si>
    <t>Darbaspēka tiešās izmaksas šķeldas apkurei sezonā</t>
  </si>
  <si>
    <t xml:space="preserve">minimālā alga </t>
  </si>
  <si>
    <t>iepirkuma rezultāti</t>
  </si>
  <si>
    <t>Bez procentu maksājuma</t>
  </si>
  <si>
    <t>Lejasciema pagasts, Lejasciema ciems, Rūpnieku iela 1</t>
  </si>
  <si>
    <t>Šī brīža tarifs</t>
  </si>
  <si>
    <t>Plānotais tarifs no 01.10.2024</t>
  </si>
  <si>
    <t>PVN 12 % (fiziskām personām)</t>
  </si>
  <si>
    <t>PVN 21 % (juridiskām personām)</t>
  </si>
  <si>
    <t>1 mWh cena, EUR bez PVN</t>
  </si>
  <si>
    <t>Jaunais apkures katls</t>
  </si>
  <si>
    <t>1 mWh cena, EUR ar PVN (fiziskām personām)</t>
  </si>
  <si>
    <t>1 mWh cena, EUR ar PVN (juridiskām personām)</t>
  </si>
  <si>
    <t>1 mWh cena, izmaksas pašvaldības iestādēm</t>
  </si>
  <si>
    <r>
      <t xml:space="preserve">APKURES TARIFS 
</t>
    </r>
    <r>
      <rPr>
        <b/>
        <sz val="20"/>
        <color theme="1"/>
        <rFont val="Calibri"/>
        <family val="2"/>
        <charset val="186"/>
        <scheme val="minor"/>
      </rPr>
      <t>Lejasciema pagasts, Lejasciema ciems, Rūpnieku iela 1</t>
    </r>
  </si>
  <si>
    <t>Šķeldas apkure, tarifs (provizoriski)</t>
  </si>
  <si>
    <t>Malkas apkure, tarifs (provizoriski)</t>
  </si>
  <si>
    <t>Granulu apkure, 
SIA "GES" piedāvājums*</t>
  </si>
  <si>
    <t>* SIA "Gulbenes Energo Serviss" sākotnējais piedāvājums bija 112 EUR par mWh bez PVN. Tā kā samazinājusies granulu cena, tad šobrīd iespējamais tarifs par mWh 102 EUR bez PVN</t>
  </si>
  <si>
    <t>Vecais apkures katls (iegādāts 2000.gadā)</t>
  </si>
  <si>
    <r>
      <t>Kurināmais - šķelda (</t>
    </r>
    <r>
      <rPr>
        <b/>
        <sz val="16"/>
        <color theme="1"/>
        <rFont val="Times New Roman"/>
        <family val="1"/>
        <charset val="186"/>
      </rPr>
      <t>1921</t>
    </r>
    <r>
      <rPr>
        <sz val="14"/>
        <color theme="1"/>
        <rFont val="Times New Roman"/>
        <family val="1"/>
        <charset val="186"/>
      </rPr>
      <t>m</t>
    </r>
    <r>
      <rPr>
        <vertAlign val="superscript"/>
        <sz val="14"/>
        <color theme="1"/>
        <rFont val="Times New Roman"/>
        <family val="1"/>
        <charset val="186"/>
      </rPr>
      <t>3</t>
    </r>
    <r>
      <rPr>
        <sz val="14"/>
        <color theme="1"/>
        <rFont val="Times New Roman"/>
        <family val="1"/>
        <charset val="186"/>
      </rPr>
      <t>, cena 22 EUR bez PVN)</t>
    </r>
  </si>
  <si>
    <t>Elektroenerģijas (Konstantais) - 65,60 EUR mēnesī x 12</t>
  </si>
  <si>
    <t>Iekārtas, inventāra remontdarbi (apkures katla tehniskā apkope 2201 EUR gadā - saskaņā ar iepirkumu)</t>
  </si>
  <si>
    <t>Atlīdzības izmaksas kopā:</t>
  </si>
  <si>
    <t>Tiešās izmaksas bez atlīdžības kopā:</t>
  </si>
  <si>
    <r>
      <t xml:space="preserve">Kurināmais - malka (vidējais patēriņš </t>
    </r>
    <r>
      <rPr>
        <b/>
        <sz val="16"/>
        <color rgb="FFFF0000"/>
        <rFont val="Times New Roman"/>
        <family val="1"/>
        <charset val="186"/>
      </rPr>
      <t>1147,60</t>
    </r>
    <r>
      <rPr>
        <sz val="14"/>
        <color rgb="FFFF0000"/>
        <rFont val="Times New Roman"/>
        <family val="1"/>
        <charset val="186"/>
      </rPr>
      <t xml:space="preserve"> m</t>
    </r>
    <r>
      <rPr>
        <vertAlign val="superscript"/>
        <sz val="14"/>
        <color rgb="FFFF0000"/>
        <rFont val="Times New Roman"/>
        <family val="1"/>
        <charset val="186"/>
      </rPr>
      <t>3</t>
    </r>
    <r>
      <rPr>
        <sz val="14"/>
        <color rgb="FFFF0000"/>
        <rFont val="Times New Roman"/>
        <family val="1"/>
        <charset val="186"/>
      </rPr>
      <t>, viena m</t>
    </r>
    <r>
      <rPr>
        <vertAlign val="superscript"/>
        <sz val="14"/>
        <color rgb="FFFF0000"/>
        <rFont val="Times New Roman"/>
        <family val="1"/>
        <charset val="186"/>
      </rPr>
      <t>3</t>
    </r>
    <r>
      <rPr>
        <sz val="14"/>
        <color rgb="FFFF0000"/>
        <rFont val="Times New Roman"/>
        <family val="1"/>
        <charset val="186"/>
      </rPr>
      <t xml:space="preserve"> malkas pieņemtās izmaksas 45 EUR)</t>
    </r>
  </si>
  <si>
    <r>
      <t xml:space="preserve">Elektroenerģija (Mainīgais) - </t>
    </r>
    <r>
      <rPr>
        <b/>
        <sz val="16"/>
        <color rgb="FFFF0000"/>
        <rFont val="Times New Roman"/>
        <family val="1"/>
        <charset val="186"/>
      </rPr>
      <t xml:space="preserve">31055 </t>
    </r>
    <r>
      <rPr>
        <sz val="14"/>
        <color rgb="FFFF0000"/>
        <rFont val="Times New Roman"/>
        <family val="1"/>
        <charset val="186"/>
      </rPr>
      <t>kWh gadā, (0,10856 + 0,02602 = 0,13458 EUR/kWh)</t>
    </r>
  </si>
  <si>
    <r>
      <t xml:space="preserve">Malkas apkures katla nolietojums (derīgās lietošanas laiks 10 gadi, iespējamā iegādes un uzstādīšanas vērtība 35650,19) - </t>
    </r>
    <r>
      <rPr>
        <b/>
        <sz val="14"/>
        <color rgb="FFFF0000"/>
        <rFont val="Times New Roman"/>
        <family val="1"/>
        <charset val="186"/>
      </rPr>
      <t>nolietojums bez PVN</t>
    </r>
  </si>
  <si>
    <r>
      <t xml:space="preserve">Šķeldas apkures katla nolietojums (derīgās lietošanas laiks 10 gadi, iespējamā uzskaites vērtība 316811,87 EUR) - </t>
    </r>
    <r>
      <rPr>
        <b/>
        <sz val="14"/>
        <color rgb="FFFF0000"/>
        <rFont val="Times New Roman"/>
        <family val="1"/>
        <charset val="186"/>
      </rPr>
      <t>nolietojums bez PVN</t>
    </r>
  </si>
  <si>
    <t>Nolietojums gadā (tarifā iekļaujamā summa) - bez PVN</t>
  </si>
  <si>
    <t>Procentu maksājumi Valsts kasei gadā par aizņēmumu (aizņēmums uz 10 gadiem) - 2025.gadā paredzamais % maksājums. Saskaņā ar aizņēmuma atmaksas grafiku, turpmākajos gados tas samazinās aptuveni par 1000 EUR gadā</t>
  </si>
  <si>
    <t>Procentu maksājumi Valsts kasei gadā par aizņēmumu (aizņēmums uz 10 gadiem) -katlu var iegādāties bez aizņēmuma</t>
  </si>
  <si>
    <t>m</t>
  </si>
  <si>
    <r>
      <t xml:space="preserve">Precizēts malkas patēriņš malkas apkurei - </t>
    </r>
    <r>
      <rPr>
        <b/>
        <sz val="16"/>
        <color theme="1"/>
        <rFont val="Calibri"/>
        <family val="2"/>
        <charset val="186"/>
        <scheme val="minor"/>
      </rPr>
      <t>1147,60 m3</t>
    </r>
    <r>
      <rPr>
        <sz val="16"/>
        <color theme="1"/>
        <rFont val="Calibri"/>
        <family val="2"/>
        <scheme val="minor"/>
      </rPr>
      <t xml:space="preserve"> (iepriekš 1200 m3)</t>
    </r>
  </si>
  <si>
    <t>No malkas apkures tarifa aprēķina izņemts procentu maksājums, jo apkures katlu varētu iegādāties bez aizņēmuma</t>
  </si>
  <si>
    <t>Precizēts tarifa aprēķinā iekļautais apkures katla nolietojums -  summa bez PVN</t>
  </si>
  <si>
    <r>
      <t xml:space="preserve">Precizēta elektroenerģijas </t>
    </r>
    <r>
      <rPr>
        <b/>
        <sz val="16"/>
        <color theme="1"/>
        <rFont val="Calibri"/>
        <family val="2"/>
        <charset val="186"/>
        <scheme val="minor"/>
      </rPr>
      <t>cena par kWh saskaņā ar iepirkumu</t>
    </r>
    <r>
      <rPr>
        <sz val="16"/>
        <color theme="1"/>
        <rFont val="Calibri"/>
        <family val="2"/>
        <scheme val="minor"/>
      </rPr>
      <t xml:space="preserve">
pārdevēja komponente 0,10856  + AS "Sadales tīkls" komponente 0,02602 = </t>
    </r>
    <r>
      <rPr>
        <b/>
        <sz val="16"/>
        <color theme="1"/>
        <rFont val="Calibri"/>
        <family val="2"/>
        <charset val="186"/>
        <scheme val="minor"/>
      </rPr>
      <t>0,13458 EUR par kWh</t>
    </r>
  </si>
  <si>
    <t>Šķeldas apkures tarifa aprēķinā precizēts % maksājums - iekļauts 2025.gadā paredzamais % maksājuma apmērs (iepriekš 10 gadu vidējais). Saskaņā ar aizņēmuma atmaksas grafiku, turpmākajos gados tas samazinās aptuveni par 1000 EUR gadā</t>
  </si>
  <si>
    <t>tarifs</t>
  </si>
  <si>
    <t>Vidējais % maksājums 5280,31 EUR, tarifs 89,31 EUR par mWh</t>
  </si>
  <si>
    <r>
      <t>Minimālā alga</t>
    </r>
    <r>
      <rPr>
        <b/>
        <sz val="16"/>
        <color theme="1"/>
        <rFont val="Calibri"/>
        <family val="2"/>
        <scheme val="minor"/>
      </rPr>
      <t xml:space="preserve"> 730</t>
    </r>
  </si>
  <si>
    <r>
      <t xml:space="preserve">Minimālā alga </t>
    </r>
    <r>
      <rPr>
        <b/>
        <sz val="16"/>
        <color theme="1"/>
        <rFont val="Calibri"/>
        <family val="2"/>
        <scheme val="minor"/>
      </rPr>
      <t>750</t>
    </r>
  </si>
  <si>
    <r>
      <t xml:space="preserve">2026.gadā paredzamais % maksājums </t>
    </r>
    <r>
      <rPr>
        <b/>
        <sz val="16"/>
        <color theme="1"/>
        <rFont val="Calibri"/>
        <family val="2"/>
        <scheme val="minor"/>
      </rPr>
      <t>8886,37</t>
    </r>
    <r>
      <rPr>
        <sz val="16"/>
        <color theme="1"/>
        <rFont val="Calibri"/>
        <family val="2"/>
        <scheme val="minor"/>
      </rPr>
      <t xml:space="preserve"> EUR, tarifs </t>
    </r>
    <r>
      <rPr>
        <b/>
        <sz val="16"/>
        <color theme="1"/>
        <rFont val="Calibri"/>
        <family val="2"/>
        <scheme val="minor"/>
      </rPr>
      <t>92,59</t>
    </r>
    <r>
      <rPr>
        <sz val="16"/>
        <color theme="1"/>
        <rFont val="Calibri"/>
        <family val="2"/>
        <scheme val="minor"/>
      </rPr>
      <t xml:space="preserve"> EUR par mWh</t>
    </r>
  </si>
  <si>
    <r>
      <t xml:space="preserve">Minimālā alga </t>
    </r>
    <r>
      <rPr>
        <b/>
        <sz val="16"/>
        <color theme="1"/>
        <rFont val="Calibri"/>
        <family val="2"/>
        <scheme val="minor"/>
      </rPr>
      <t>810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</si>
</sst>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0.00&quot; EUR/MWh&quot;"/>
    <numFmt numFmtId="165" formatCode="0.00&quot; EUR mēnešalga, atvaļinājuma pabalsts&quot;"/>
    <numFmt numFmtId="166" formatCode="0.00&quot; EUR mēnešalga, darba alga par nostrādātajām dienas, nakts stundām, svētku dienām, atbrīvošanas pabalsts&quot;"/>
    <numFmt numFmtId="167" formatCode="0.00&quot; EUR mēnešalga, 30% motivējoša piemaksa, 30% atvaļinājuma pabalsts&quot;"/>
    <numFmt numFmtId="168" formatCode="&quot;Interneta pieslēgums &quot;0.00&quot; EUR&quot;"/>
    <numFmt numFmtId="169" formatCode="0.00&quot; mēn&quot;"/>
    <numFmt numFmtId="170" formatCode="&quot;Iekārtu skaits &quot;0.00"/>
    <numFmt numFmtId="171" formatCode="&quot;Iekārtas abonēšanas izmaksas &quot;0.00&quot; EUR/mēn&quot;"/>
    <numFmt numFmtId="172" formatCode="0.00&quot; m3 &quot;"/>
    <numFmt numFmtId="173" formatCode="0.00&quot; EUR/m3&quot;"/>
    <numFmt numFmtId="174" formatCode="&quot;Katlu mājā patērētā elektroenerģija &quot;0.00&quot; kWh (Pēc skaitītāja)&quot;"/>
    <numFmt numFmtId="175" formatCode="&quot;Elektroenerģijas izmaksas &quot;0.00000&quot; EUR/kWh&quot;"/>
    <numFmt numFmtId="176" formatCode="0.00&quot; EUR/mēn&quot;"/>
    <numFmt numFmtId="177" formatCode="&quot;Vidējais kurināmā patēriņš gadā &quot;0.00&quot; m3&quot;"/>
    <numFmt numFmtId="178" formatCode="&quot;Viena m3 malkas pieņemtās izmaksas &quot;0.00&quot; EUR&quot;"/>
    <numFmt numFmtId="179" formatCode="&quot;Patērētājiem nodotā siltumenerģija &quot;0.00&quot; MWh&quot;"/>
    <numFmt numFmtId="180" formatCode="&quot;Viena m3 beramās šķeldas pieņemtās izmaksas &quot;0.00&quot; EUR&quot;"/>
    <numFmt numFmtId="181" formatCode="0.00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i/>
      <sz val="18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6"/>
      <name val="Times New Roman"/>
      <family val="1"/>
      <charset val="186"/>
    </font>
    <font>
      <sz val="15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vertAlign val="superscript"/>
      <sz val="14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22"/>
      <color theme="1"/>
      <name val="Times New Roman"/>
      <family val="1"/>
      <charset val="186"/>
    </font>
    <font>
      <b/>
      <sz val="22"/>
      <color theme="1"/>
      <name val="Calibri"/>
      <family val="2"/>
      <charset val="186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186"/>
      <scheme val="minor"/>
    </font>
    <font>
      <b/>
      <sz val="18"/>
      <color rgb="FFFF0000"/>
      <name val="Calibri"/>
      <family val="2"/>
      <scheme val="minor"/>
    </font>
    <font>
      <b/>
      <sz val="18"/>
      <color rgb="FFFF0000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vertAlign val="superscript"/>
      <sz val="14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sz val="16"/>
      <color theme="1"/>
      <name val="Wingdings"/>
      <charset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7" fillId="0" borderId="11" xfId="0" applyFont="1" applyBorder="1" applyAlignment="1">
      <alignment horizontal="center" vertical="center"/>
    </xf>
    <xf numFmtId="44" fontId="3" fillId="0" borderId="12" xfId="1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4" fontId="3" fillId="0" borderId="15" xfId="1" applyFont="1" applyFill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 wrapText="1"/>
    </xf>
    <xf numFmtId="44" fontId="3" fillId="0" borderId="15" xfId="1" applyFont="1" applyFill="1" applyBorder="1" applyAlignment="1">
      <alignment horizontal="center" vertical="distributed"/>
    </xf>
    <xf numFmtId="0" fontId="7" fillId="0" borderId="17" xfId="0" applyFont="1" applyBorder="1" applyAlignment="1">
      <alignment horizontal="center" vertical="center"/>
    </xf>
    <xf numFmtId="44" fontId="3" fillId="0" borderId="18" xfId="1" applyFont="1" applyFill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distributed"/>
    </xf>
    <xf numFmtId="44" fontId="3" fillId="0" borderId="20" xfId="1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 wrapText="1"/>
    </xf>
    <xf numFmtId="169" fontId="7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171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distributed"/>
    </xf>
    <xf numFmtId="178" fontId="7" fillId="0" borderId="15" xfId="1" applyNumberFormat="1" applyFont="1" applyFill="1" applyBorder="1" applyAlignment="1">
      <alignment horizontal="center" vertical="center" wrapText="1"/>
    </xf>
    <xf numFmtId="178" fontId="7" fillId="0" borderId="16" xfId="1" applyNumberFormat="1" applyFont="1" applyFill="1" applyBorder="1" applyAlignment="1">
      <alignment horizontal="center" vertical="center" wrapText="1"/>
    </xf>
    <xf numFmtId="10" fontId="3" fillId="0" borderId="15" xfId="2" applyNumberFormat="1" applyFont="1" applyFill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44" fontId="13" fillId="3" borderId="2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0" xfId="0" applyFont="1"/>
    <xf numFmtId="0" fontId="7" fillId="0" borderId="29" xfId="0" applyFont="1" applyBorder="1"/>
    <xf numFmtId="0" fontId="15" fillId="0" borderId="28" xfId="0" applyFont="1" applyBorder="1" applyAlignment="1">
      <alignment horizontal="center" vertical="center"/>
    </xf>
    <xf numFmtId="0" fontId="15" fillId="0" borderId="0" xfId="0" applyFont="1"/>
    <xf numFmtId="0" fontId="15" fillId="0" borderId="29" xfId="0" applyFont="1" applyBorder="1"/>
    <xf numFmtId="179" fontId="15" fillId="0" borderId="5" xfId="0" applyNumberFormat="1" applyFont="1" applyBorder="1" applyAlignment="1">
      <alignment vertical="top"/>
    </xf>
    <xf numFmtId="179" fontId="15" fillId="0" borderId="7" xfId="0" applyNumberFormat="1" applyFont="1" applyBorder="1" applyAlignment="1">
      <alignment vertical="top"/>
    </xf>
    <xf numFmtId="0" fontId="7" fillId="0" borderId="12" xfId="0" applyFont="1" applyBorder="1" applyAlignment="1">
      <alignment horizontal="left" vertical="distributed"/>
    </xf>
    <xf numFmtId="0" fontId="7" fillId="0" borderId="18" xfId="0" applyFont="1" applyBorder="1" applyAlignment="1">
      <alignment horizontal="left" vertical="distributed"/>
    </xf>
    <xf numFmtId="44" fontId="3" fillId="4" borderId="3" xfId="1" applyFont="1" applyFill="1" applyBorder="1" applyAlignment="1">
      <alignment horizontal="left" vertical="top" wrapText="1"/>
    </xf>
    <xf numFmtId="164" fontId="3" fillId="4" borderId="3" xfId="0" applyNumberFormat="1" applyFont="1" applyFill="1" applyBorder="1" applyAlignment="1">
      <alignment horizontal="center" vertical="center" wrapText="1"/>
    </xf>
    <xf numFmtId="44" fontId="3" fillId="4" borderId="23" xfId="1" applyFont="1" applyFill="1" applyBorder="1" applyAlignment="1">
      <alignment horizontal="left" vertical="top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0" fontId="3" fillId="4" borderId="24" xfId="2" applyNumberFormat="1" applyFont="1" applyFill="1" applyBorder="1" applyAlignment="1">
      <alignment horizontal="center" vertical="center" wrapText="1"/>
    </xf>
    <xf numFmtId="44" fontId="3" fillId="4" borderId="3" xfId="0" applyNumberFormat="1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0" borderId="0" xfId="0" applyFont="1"/>
    <xf numFmtId="44" fontId="0" fillId="0" borderId="0" xfId="0" applyNumberFormat="1"/>
    <xf numFmtId="10" fontId="3" fillId="4" borderId="36" xfId="2" applyNumberFormat="1" applyFont="1" applyFill="1" applyBorder="1" applyAlignment="1">
      <alignment horizontal="center" vertical="center" wrapText="1"/>
    </xf>
    <xf numFmtId="10" fontId="3" fillId="3" borderId="15" xfId="2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13" fillId="3" borderId="15" xfId="0" applyNumberFormat="1" applyFont="1" applyFill="1" applyBorder="1" applyAlignment="1">
      <alignment horizontal="center" vertical="center" wrapText="1"/>
    </xf>
    <xf numFmtId="44" fontId="3" fillId="0" borderId="23" xfId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left" vertical="center" wrapText="1"/>
    </xf>
    <xf numFmtId="170" fontId="7" fillId="0" borderId="21" xfId="0" applyNumberFormat="1" applyFont="1" applyBorder="1" applyAlignment="1">
      <alignment horizontal="center" vertical="center" wrapText="1"/>
    </xf>
    <xf numFmtId="172" fontId="7" fillId="0" borderId="21" xfId="0" applyNumberFormat="1" applyFont="1" applyBorder="1" applyAlignment="1">
      <alignment horizontal="center" vertical="center" wrapText="1"/>
    </xf>
    <xf numFmtId="174" fontId="7" fillId="0" borderId="21" xfId="0" applyNumberFormat="1" applyFont="1" applyBorder="1" applyAlignment="1">
      <alignment horizontal="center" vertical="center" wrapText="1"/>
    </xf>
    <xf numFmtId="169" fontId="7" fillId="0" borderId="21" xfId="0" applyNumberFormat="1" applyFont="1" applyBorder="1" applyAlignment="1">
      <alignment horizontal="center" vertical="center" wrapText="1"/>
    </xf>
    <xf numFmtId="177" fontId="7" fillId="0" borderId="21" xfId="0" applyNumberFormat="1" applyFont="1" applyBorder="1" applyAlignment="1">
      <alignment horizontal="center" vertical="center" wrapText="1"/>
    </xf>
    <xf numFmtId="10" fontId="3" fillId="4" borderId="38" xfId="2" applyNumberFormat="1" applyFont="1" applyFill="1" applyBorder="1" applyAlignment="1">
      <alignment horizontal="center" vertical="center" wrapText="1"/>
    </xf>
    <xf numFmtId="180" fontId="7" fillId="0" borderId="15" xfId="1" applyNumberFormat="1" applyFont="1" applyFill="1" applyBorder="1" applyAlignment="1">
      <alignment horizontal="center" vertical="center" wrapText="1"/>
    </xf>
    <xf numFmtId="180" fontId="7" fillId="0" borderId="16" xfId="1" applyNumberFormat="1" applyFont="1" applyFill="1" applyBorder="1" applyAlignment="1">
      <alignment horizontal="center" vertical="center" wrapText="1"/>
    </xf>
    <xf numFmtId="10" fontId="3" fillId="0" borderId="13" xfId="2" applyNumberFormat="1" applyFont="1" applyFill="1" applyBorder="1" applyAlignment="1">
      <alignment horizontal="center" vertical="center" wrapText="1"/>
    </xf>
    <xf numFmtId="10" fontId="3" fillId="0" borderId="16" xfId="2" applyNumberFormat="1" applyFont="1" applyFill="1" applyBorder="1" applyAlignment="1">
      <alignment horizontal="center" vertical="center" wrapText="1"/>
    </xf>
    <xf numFmtId="44" fontId="3" fillId="0" borderId="39" xfId="1" applyFont="1" applyFill="1" applyBorder="1" applyAlignment="1">
      <alignment horizontal="center" vertical="center"/>
    </xf>
    <xf numFmtId="179" fontId="4" fillId="0" borderId="6" xfId="0" applyNumberFormat="1" applyFont="1" applyBorder="1" applyAlignment="1">
      <alignment vertical="top"/>
    </xf>
    <xf numFmtId="179" fontId="19" fillId="0" borderId="6" xfId="0" applyNumberFormat="1" applyFont="1" applyBorder="1" applyAlignment="1">
      <alignment vertical="center"/>
    </xf>
    <xf numFmtId="44" fontId="17" fillId="3" borderId="20" xfId="1" applyFont="1" applyFill="1" applyBorder="1" applyAlignment="1">
      <alignment horizontal="center" vertical="center"/>
    </xf>
    <xf numFmtId="10" fontId="3" fillId="4" borderId="40" xfId="2" applyNumberFormat="1" applyFont="1" applyFill="1" applyBorder="1" applyAlignment="1">
      <alignment horizontal="center" vertical="center" wrapText="1"/>
    </xf>
    <xf numFmtId="164" fontId="17" fillId="3" borderId="15" xfId="0" applyNumberFormat="1" applyFont="1" applyFill="1" applyBorder="1" applyAlignment="1">
      <alignment horizontal="center" vertical="center" wrapText="1"/>
    </xf>
    <xf numFmtId="10" fontId="8" fillId="3" borderId="15" xfId="2" applyNumberFormat="1" applyFont="1" applyFill="1" applyBorder="1" applyAlignment="1">
      <alignment horizontal="center" vertical="center" wrapText="1"/>
    </xf>
    <xf numFmtId="177" fontId="7" fillId="3" borderId="21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distributed"/>
    </xf>
    <xf numFmtId="44" fontId="3" fillId="0" borderId="26" xfId="1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 wrapText="1"/>
    </xf>
    <xf numFmtId="10" fontId="3" fillId="0" borderId="27" xfId="2" applyNumberFormat="1" applyFont="1" applyFill="1" applyBorder="1" applyAlignment="1">
      <alignment horizontal="center" vertical="center" wrapText="1"/>
    </xf>
    <xf numFmtId="179" fontId="3" fillId="0" borderId="5" xfId="0" applyNumberFormat="1" applyFont="1" applyBorder="1" applyAlignment="1">
      <alignment vertical="top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distributed"/>
    </xf>
    <xf numFmtId="44" fontId="8" fillId="5" borderId="15" xfId="1" applyFont="1" applyFill="1" applyBorder="1" applyAlignment="1">
      <alignment horizontal="center" vertical="distributed"/>
    </xf>
    <xf numFmtId="164" fontId="3" fillId="5" borderId="15" xfId="0" applyNumberFormat="1" applyFont="1" applyFill="1" applyBorder="1" applyAlignment="1">
      <alignment horizontal="center" vertical="center" wrapText="1"/>
    </xf>
    <xf numFmtId="174" fontId="4" fillId="0" borderId="21" xfId="0" applyNumberFormat="1" applyFont="1" applyBorder="1" applyAlignment="1">
      <alignment horizontal="center" vertical="center" wrapText="1"/>
    </xf>
    <xf numFmtId="10" fontId="3" fillId="5" borderId="15" xfId="2" applyNumberFormat="1" applyFont="1" applyFill="1" applyBorder="1" applyAlignment="1">
      <alignment horizontal="center" vertical="center" wrapText="1"/>
    </xf>
    <xf numFmtId="44" fontId="3" fillId="5" borderId="15" xfId="1" applyFont="1" applyFill="1" applyBorder="1" applyAlignment="1">
      <alignment horizontal="center" vertical="distributed"/>
    </xf>
    <xf numFmtId="10" fontId="3" fillId="5" borderId="16" xfId="2" applyNumberFormat="1" applyFont="1" applyFill="1" applyBorder="1" applyAlignment="1">
      <alignment horizontal="center" vertical="center" wrapText="1"/>
    </xf>
    <xf numFmtId="44" fontId="3" fillId="5" borderId="15" xfId="1" applyFont="1" applyFill="1" applyBorder="1" applyAlignment="1">
      <alignment horizontal="center" vertical="center"/>
    </xf>
    <xf numFmtId="177" fontId="11" fillId="5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2" borderId="4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179" fontId="3" fillId="0" borderId="6" xfId="0" applyNumberFormat="1" applyFont="1" applyBorder="1" applyAlignment="1">
      <alignment vertical="top"/>
    </xf>
    <xf numFmtId="0" fontId="17" fillId="2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44" fontId="3" fillId="4" borderId="15" xfId="0" applyNumberFormat="1" applyFont="1" applyFill="1" applyBorder="1" applyAlignment="1">
      <alignment vertical="top" wrapText="1"/>
    </xf>
    <xf numFmtId="164" fontId="3" fillId="4" borderId="15" xfId="0" applyNumberFormat="1" applyFont="1" applyFill="1" applyBorder="1" applyAlignment="1">
      <alignment horizontal="center" vertical="center" wrapText="1"/>
    </xf>
    <xf numFmtId="10" fontId="3" fillId="4" borderId="15" xfId="2" applyNumberFormat="1" applyFont="1" applyFill="1" applyBorder="1" applyAlignment="1">
      <alignment horizontal="center" vertical="center" wrapText="1"/>
    </xf>
    <xf numFmtId="44" fontId="3" fillId="4" borderId="15" xfId="1" applyFont="1" applyFill="1" applyBorder="1" applyAlignment="1">
      <alignment horizontal="left" vertical="top" wrapText="1"/>
    </xf>
    <xf numFmtId="44" fontId="13" fillId="3" borderId="15" xfId="1" applyFont="1" applyFill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 wrapText="1"/>
    </xf>
    <xf numFmtId="169" fontId="7" fillId="0" borderId="15" xfId="0" applyNumberFormat="1" applyFont="1" applyBorder="1" applyAlignment="1">
      <alignment horizontal="center" vertical="center" wrapText="1"/>
    </xf>
    <xf numFmtId="170" fontId="7" fillId="0" borderId="15" xfId="0" applyNumberFormat="1" applyFont="1" applyBorder="1" applyAlignment="1">
      <alignment horizontal="center" vertical="center" wrapText="1"/>
    </xf>
    <xf numFmtId="172" fontId="7" fillId="0" borderId="15" xfId="0" applyNumberFormat="1" applyFont="1" applyBorder="1" applyAlignment="1">
      <alignment horizontal="center" vertical="center" wrapText="1"/>
    </xf>
    <xf numFmtId="174" fontId="7" fillId="0" borderId="15" xfId="0" applyNumberFormat="1" applyFont="1" applyBorder="1" applyAlignment="1">
      <alignment horizontal="center" vertical="center" wrapText="1"/>
    </xf>
    <xf numFmtId="177" fontId="7" fillId="3" borderId="15" xfId="0" applyNumberFormat="1" applyFont="1" applyFill="1" applyBorder="1" applyAlignment="1">
      <alignment horizontal="center" vertical="center" wrapText="1"/>
    </xf>
    <xf numFmtId="177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44" fontId="17" fillId="3" borderId="15" xfId="1" applyFont="1" applyFill="1" applyBorder="1" applyAlignment="1">
      <alignment horizontal="center" vertical="center"/>
    </xf>
    <xf numFmtId="0" fontId="7" fillId="0" borderId="15" xfId="0" applyFont="1" applyBorder="1"/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/>
    <xf numFmtId="179" fontId="15" fillId="0" borderId="15" xfId="0" applyNumberFormat="1" applyFont="1" applyBorder="1" applyAlignment="1">
      <alignment vertical="top"/>
    </xf>
    <xf numFmtId="179" fontId="19" fillId="0" borderId="15" xfId="0" applyNumberFormat="1" applyFont="1" applyBorder="1" applyAlignment="1">
      <alignment vertical="center"/>
    </xf>
    <xf numFmtId="44" fontId="3" fillId="3" borderId="15" xfId="0" applyNumberFormat="1" applyFont="1" applyFill="1" applyBorder="1" applyAlignment="1">
      <alignment horizontal="center" vertical="center" wrapText="1"/>
    </xf>
    <xf numFmtId="0" fontId="0" fillId="0" borderId="15" xfId="0" applyBorder="1"/>
    <xf numFmtId="44" fontId="3" fillId="5" borderId="15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15" xfId="0" applyNumberFormat="1" applyBorder="1"/>
    <xf numFmtId="0" fontId="0" fillId="0" borderId="15" xfId="0" applyBorder="1" applyAlignment="1">
      <alignment wrapText="1"/>
    </xf>
    <xf numFmtId="2" fontId="20" fillId="0" borderId="0" xfId="0" applyNumberFormat="1" applyFont="1"/>
    <xf numFmtId="0" fontId="0" fillId="6" borderId="15" xfId="0" applyFill="1" applyBorder="1"/>
    <xf numFmtId="0" fontId="22" fillId="0" borderId="0" xfId="0" applyFont="1"/>
    <xf numFmtId="0" fontId="20" fillId="0" borderId="15" xfId="0" applyFont="1" applyBorder="1" applyAlignment="1">
      <alignment horizontal="center" wrapText="1"/>
    </xf>
    <xf numFmtId="0" fontId="20" fillId="0" borderId="0" xfId="0" applyFont="1"/>
    <xf numFmtId="0" fontId="23" fillId="5" borderId="0" xfId="0" applyFont="1" applyFill="1"/>
    <xf numFmtId="0" fontId="0" fillId="5" borderId="0" xfId="0" applyFill="1"/>
    <xf numFmtId="0" fontId="23" fillId="0" borderId="0" xfId="0" applyFont="1"/>
    <xf numFmtId="0" fontId="0" fillId="7" borderId="15" xfId="0" applyFill="1" applyBorder="1"/>
    <xf numFmtId="0" fontId="20" fillId="0" borderId="15" xfId="0" applyFont="1" applyBorder="1" applyAlignment="1">
      <alignment horizontal="center" vertical="center"/>
    </xf>
    <xf numFmtId="0" fontId="20" fillId="7" borderId="15" xfId="0" applyFont="1" applyFill="1" applyBorder="1"/>
    <xf numFmtId="9" fontId="0" fillId="0" borderId="0" xfId="0" applyNumberFormat="1"/>
    <xf numFmtId="0" fontId="20" fillId="5" borderId="0" xfId="0" applyFont="1" applyFill="1"/>
    <xf numFmtId="44" fontId="3" fillId="3" borderId="15" xfId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2" fontId="20" fillId="7" borderId="15" xfId="0" applyNumberFormat="1" applyFont="1" applyFill="1" applyBorder="1"/>
    <xf numFmtId="0" fontId="20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20" fillId="7" borderId="15" xfId="0" applyFont="1" applyFill="1" applyBorder="1" applyAlignment="1">
      <alignment vertical="center" wrapText="1"/>
    </xf>
    <xf numFmtId="181" fontId="0" fillId="5" borderId="0" xfId="0" applyNumberFormat="1" applyFill="1"/>
    <xf numFmtId="0" fontId="0" fillId="7" borderId="0" xfId="0" applyFill="1"/>
    <xf numFmtId="0" fontId="20" fillId="7" borderId="0" xfId="0" applyFont="1" applyFill="1"/>
    <xf numFmtId="2" fontId="20" fillId="7" borderId="0" xfId="0" applyNumberFormat="1" applyFont="1" applyFill="1"/>
    <xf numFmtId="2" fontId="0" fillId="7" borderId="15" xfId="0" applyNumberFormat="1" applyFill="1" applyBorder="1"/>
    <xf numFmtId="0" fontId="21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20" fillId="3" borderId="15" xfId="0" applyFont="1" applyFill="1" applyBorder="1" applyAlignment="1">
      <alignment wrapText="1"/>
    </xf>
    <xf numFmtId="0" fontId="20" fillId="3" borderId="15" xfId="0" applyFont="1" applyFill="1" applyBorder="1"/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5" xfId="0" applyFill="1" applyBorder="1"/>
    <xf numFmtId="0" fontId="23" fillId="4" borderId="15" xfId="0" applyFont="1" applyFill="1" applyBorder="1" applyAlignment="1">
      <alignment horizontal="center" vertical="center"/>
    </xf>
    <xf numFmtId="0" fontId="0" fillId="5" borderId="15" xfId="0" applyFill="1" applyBorder="1"/>
    <xf numFmtId="0" fontId="24" fillId="2" borderId="0" xfId="0" applyFont="1" applyFill="1" applyAlignment="1">
      <alignment horizontal="center"/>
    </xf>
    <xf numFmtId="0" fontId="25" fillId="0" borderId="0" xfId="0" applyFont="1"/>
    <xf numFmtId="0" fontId="26" fillId="0" borderId="15" xfId="0" applyFont="1" applyBorder="1"/>
    <xf numFmtId="0" fontId="27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6" fillId="0" borderId="0" xfId="0" applyFont="1"/>
    <xf numFmtId="0" fontId="27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5" xfId="0" applyFont="1" applyBorder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/>
    </xf>
    <xf numFmtId="0" fontId="27" fillId="7" borderId="15" xfId="0" applyFont="1" applyFill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7" borderId="15" xfId="0" applyFont="1" applyFill="1" applyBorder="1" applyAlignment="1">
      <alignment vertical="center"/>
    </xf>
    <xf numFmtId="0" fontId="26" fillId="7" borderId="15" xfId="0" applyFont="1" applyFill="1" applyBorder="1" applyAlignment="1">
      <alignment vertical="center"/>
    </xf>
    <xf numFmtId="2" fontId="26" fillId="0" borderId="0" xfId="0" applyNumberFormat="1" applyFont="1"/>
    <xf numFmtId="181" fontId="0" fillId="0" borderId="0" xfId="0" applyNumberFormat="1"/>
    <xf numFmtId="0" fontId="28" fillId="0" borderId="0" xfId="0" applyFont="1"/>
    <xf numFmtId="0" fontId="27" fillId="0" borderId="0" xfId="0" applyFont="1"/>
    <xf numFmtId="0" fontId="27" fillId="0" borderId="15" xfId="0" applyFont="1" applyBorder="1" applyAlignment="1">
      <alignment horizontal="center"/>
    </xf>
    <xf numFmtId="0" fontId="27" fillId="0" borderId="15" xfId="0" applyFont="1" applyBorder="1" applyAlignment="1">
      <alignment horizontal="center" wrapText="1"/>
    </xf>
    <xf numFmtId="2" fontId="26" fillId="0" borderId="15" xfId="0" applyNumberFormat="1" applyFont="1" applyBorder="1"/>
    <xf numFmtId="0" fontId="27" fillId="7" borderId="15" xfId="0" applyFont="1" applyFill="1" applyBorder="1"/>
    <xf numFmtId="2" fontId="27" fillId="7" borderId="15" xfId="0" applyNumberFormat="1" applyFont="1" applyFill="1" applyBorder="1"/>
    <xf numFmtId="2" fontId="27" fillId="4" borderId="15" xfId="0" applyNumberFormat="1" applyFont="1" applyFill="1" applyBorder="1"/>
    <xf numFmtId="0" fontId="27" fillId="4" borderId="0" xfId="0" applyFont="1" applyFill="1"/>
    <xf numFmtId="0" fontId="27" fillId="4" borderId="15" xfId="0" applyFont="1" applyFill="1" applyBorder="1"/>
    <xf numFmtId="0" fontId="26" fillId="7" borderId="15" xfId="0" applyFont="1" applyFill="1" applyBorder="1"/>
    <xf numFmtId="0" fontId="29" fillId="4" borderId="0" xfId="0" applyFont="1" applyFill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4" borderId="15" xfId="0" applyFont="1" applyFill="1" applyBorder="1"/>
    <xf numFmtId="2" fontId="30" fillId="4" borderId="15" xfId="0" applyNumberFormat="1" applyFont="1" applyFill="1" applyBorder="1"/>
    <xf numFmtId="0" fontId="29" fillId="4" borderId="15" xfId="0" applyFont="1" applyFill="1" applyBorder="1"/>
    <xf numFmtId="2" fontId="29" fillId="4" borderId="15" xfId="0" applyNumberFormat="1" applyFont="1" applyFill="1" applyBorder="1"/>
    <xf numFmtId="2" fontId="27" fillId="0" borderId="0" xfId="0" applyNumberFormat="1" applyFont="1"/>
    <xf numFmtId="2" fontId="28" fillId="0" borderId="0" xfId="0" applyNumberFormat="1" applyFont="1"/>
    <xf numFmtId="0" fontId="28" fillId="7" borderId="15" xfId="0" applyFont="1" applyFill="1" applyBorder="1"/>
    <xf numFmtId="4" fontId="27" fillId="7" borderId="15" xfId="0" applyNumberFormat="1" applyFont="1" applyFill="1" applyBorder="1" applyAlignment="1">
      <alignment horizontal="center" vertical="center"/>
    </xf>
    <xf numFmtId="4" fontId="26" fillId="0" borderId="15" xfId="0" applyNumberFormat="1" applyFont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/>
    </xf>
    <xf numFmtId="4" fontId="29" fillId="7" borderId="15" xfId="0" applyNumberFormat="1" applyFont="1" applyFill="1" applyBorder="1" applyAlignment="1">
      <alignment horizontal="center" vertical="center"/>
    </xf>
    <xf numFmtId="4" fontId="27" fillId="0" borderId="15" xfId="0" applyNumberFormat="1" applyFont="1" applyBorder="1" applyAlignment="1">
      <alignment horizontal="center" vertical="center"/>
    </xf>
    <xf numFmtId="4" fontId="26" fillId="0" borderId="15" xfId="0" applyNumberFormat="1" applyFont="1" applyBorder="1" applyAlignment="1">
      <alignment horizontal="center" vertical="center" wrapText="1"/>
    </xf>
    <xf numFmtId="4" fontId="26" fillId="7" borderId="15" xfId="0" applyNumberFormat="1" applyFont="1" applyFill="1" applyBorder="1" applyAlignment="1">
      <alignment horizontal="center" vertical="center" wrapText="1"/>
    </xf>
    <xf numFmtId="4" fontId="26" fillId="0" borderId="0" xfId="0" applyNumberFormat="1" applyFont="1"/>
    <xf numFmtId="4" fontId="30" fillId="7" borderId="15" xfId="0" applyNumberFormat="1" applyFont="1" applyFill="1" applyBorder="1" applyAlignment="1">
      <alignment horizontal="center"/>
    </xf>
    <xf numFmtId="0" fontId="32" fillId="0" borderId="15" xfId="0" applyFont="1" applyBorder="1"/>
    <xf numFmtId="0" fontId="33" fillId="0" borderId="15" xfId="0" applyFont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15" xfId="0" applyFont="1" applyBorder="1" applyAlignment="1">
      <alignment horizontal="center" wrapText="1"/>
    </xf>
    <xf numFmtId="2" fontId="32" fillId="0" borderId="15" xfId="0" applyNumberFormat="1" applyFont="1" applyBorder="1" applyAlignment="1">
      <alignment horizontal="center"/>
    </xf>
    <xf numFmtId="0" fontId="31" fillId="0" borderId="15" xfId="0" applyFont="1" applyBorder="1"/>
    <xf numFmtId="0" fontId="31" fillId="7" borderId="15" xfId="0" applyFont="1" applyFill="1" applyBorder="1" applyAlignment="1">
      <alignment horizontal="center"/>
    </xf>
    <xf numFmtId="0" fontId="31" fillId="0" borderId="15" xfId="0" applyFont="1" applyBorder="1" applyAlignment="1">
      <alignment horizontal="center"/>
    </xf>
    <xf numFmtId="2" fontId="31" fillId="7" borderId="15" xfId="0" applyNumberFormat="1" applyFont="1" applyFill="1" applyBorder="1" applyAlignment="1">
      <alignment horizontal="center"/>
    </xf>
    <xf numFmtId="0" fontId="35" fillId="5" borderId="15" xfId="0" applyFont="1" applyFill="1" applyBorder="1" applyAlignment="1">
      <alignment horizontal="left" vertical="distributed"/>
    </xf>
    <xf numFmtId="0" fontId="35" fillId="0" borderId="15" xfId="0" applyFont="1" applyBorder="1" applyAlignment="1">
      <alignment horizontal="left" vertical="top" wrapText="1"/>
    </xf>
    <xf numFmtId="44" fontId="36" fillId="3" borderId="15" xfId="1" applyFont="1" applyFill="1" applyBorder="1" applyAlignment="1">
      <alignment horizontal="center" vertical="center"/>
    </xf>
    <xf numFmtId="44" fontId="39" fillId="3" borderId="15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41" fillId="0" borderId="0" xfId="0" applyFont="1" applyAlignment="1">
      <alignment horizontal="center" vertical="center"/>
    </xf>
    <xf numFmtId="44" fontId="18" fillId="0" borderId="0" xfId="0" applyNumberFormat="1" applyFont="1"/>
    <xf numFmtId="0" fontId="42" fillId="0" borderId="0" xfId="0" applyFont="1"/>
    <xf numFmtId="164" fontId="5" fillId="0" borderId="32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0" fontId="5" fillId="0" borderId="31" xfId="2" applyNumberFormat="1" applyFont="1" applyFill="1" applyBorder="1" applyAlignment="1">
      <alignment horizontal="center" vertical="center" wrapText="1"/>
    </xf>
    <xf numFmtId="10" fontId="5" fillId="0" borderId="35" xfId="2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distributed"/>
    </xf>
    <xf numFmtId="0" fontId="7" fillId="0" borderId="22" xfId="0" applyFont="1" applyBorder="1" applyAlignment="1">
      <alignment horizontal="left" vertical="distributed"/>
    </xf>
    <xf numFmtId="0" fontId="7" fillId="0" borderId="23" xfId="0" applyFont="1" applyBorder="1" applyAlignment="1">
      <alignment horizontal="left" vertical="distributed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4" fontId="5" fillId="0" borderId="32" xfId="1" applyFont="1" applyFill="1" applyBorder="1" applyAlignment="1">
      <alignment horizontal="center" vertical="center" wrapText="1"/>
    </xf>
    <xf numFmtId="44" fontId="5" fillId="0" borderId="34" xfId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distributed"/>
    </xf>
    <xf numFmtId="0" fontId="7" fillId="0" borderId="11" xfId="0" applyFont="1" applyBorder="1" applyAlignment="1">
      <alignment horizontal="left" vertical="distributed"/>
    </xf>
    <xf numFmtId="0" fontId="7" fillId="0" borderId="12" xfId="0" applyFont="1" applyBorder="1" applyAlignment="1">
      <alignment horizontal="left" vertical="distributed"/>
    </xf>
    <xf numFmtId="0" fontId="12" fillId="3" borderId="11" xfId="0" applyFont="1" applyFill="1" applyBorder="1" applyAlignment="1">
      <alignment horizontal="left" vertical="distributed"/>
    </xf>
    <xf numFmtId="0" fontId="12" fillId="3" borderId="12" xfId="0" applyFont="1" applyFill="1" applyBorder="1" applyAlignment="1">
      <alignment horizontal="left" vertical="distributed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8" fontId="7" fillId="0" borderId="21" xfId="0" applyNumberFormat="1" applyFont="1" applyBorder="1" applyAlignment="1">
      <alignment horizontal="center" vertical="center" wrapText="1"/>
    </xf>
    <xf numFmtId="168" fontId="7" fillId="0" borderId="15" xfId="0" applyNumberFormat="1" applyFont="1" applyBorder="1" applyAlignment="1">
      <alignment horizontal="center" vertical="center" wrapText="1"/>
    </xf>
    <xf numFmtId="173" fontId="7" fillId="0" borderId="15" xfId="0" applyNumberFormat="1" applyFont="1" applyBorder="1" applyAlignment="1">
      <alignment horizontal="center" vertical="center" wrapText="1"/>
    </xf>
    <xf numFmtId="173" fontId="7" fillId="0" borderId="16" xfId="0" applyNumberFormat="1" applyFont="1" applyBorder="1" applyAlignment="1">
      <alignment horizontal="center" vertical="center" wrapText="1"/>
    </xf>
    <xf numFmtId="175" fontId="7" fillId="0" borderId="15" xfId="0" applyNumberFormat="1" applyFont="1" applyBorder="1" applyAlignment="1">
      <alignment horizontal="center" vertical="center" wrapText="1"/>
    </xf>
    <xf numFmtId="175" fontId="7" fillId="0" borderId="16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78" fontId="7" fillId="5" borderId="15" xfId="1" applyNumberFormat="1" applyFont="1" applyFill="1" applyBorder="1" applyAlignment="1">
      <alignment horizontal="center" vertical="center" wrapText="1"/>
    </xf>
    <xf numFmtId="178" fontId="7" fillId="5" borderId="16" xfId="1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left" vertical="center" wrapText="1"/>
    </xf>
    <xf numFmtId="165" fontId="3" fillId="0" borderId="15" xfId="0" applyNumberFormat="1" applyFont="1" applyBorder="1" applyAlignment="1">
      <alignment horizontal="left" vertical="center" wrapText="1"/>
    </xf>
    <xf numFmtId="165" fontId="3" fillId="0" borderId="16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167" fontId="7" fillId="0" borderId="15" xfId="0" applyNumberFormat="1" applyFont="1" applyBorder="1" applyAlignment="1">
      <alignment horizontal="center" vertical="center" wrapText="1"/>
    </xf>
    <xf numFmtId="167" fontId="7" fillId="0" borderId="1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165" fontId="3" fillId="0" borderId="37" xfId="0" applyNumberFormat="1" applyFont="1" applyBorder="1" applyAlignment="1">
      <alignment horizontal="left" vertical="center" wrapText="1"/>
    </xf>
    <xf numFmtId="165" fontId="3" fillId="0" borderId="12" xfId="0" applyNumberFormat="1" applyFont="1" applyBorder="1" applyAlignment="1">
      <alignment horizontal="left" vertical="center" wrapText="1"/>
    </xf>
    <xf numFmtId="165" fontId="3" fillId="0" borderId="13" xfId="0" applyNumberFormat="1" applyFont="1" applyBorder="1" applyAlignment="1">
      <alignment horizontal="left" vertical="center" wrapText="1"/>
    </xf>
    <xf numFmtId="166" fontId="9" fillId="0" borderId="21" xfId="0" applyNumberFormat="1" applyFont="1" applyBorder="1" applyAlignment="1">
      <alignment horizontal="left" vertical="center" wrapText="1"/>
    </xf>
    <xf numFmtId="166" fontId="9" fillId="0" borderId="15" xfId="0" applyNumberFormat="1" applyFont="1" applyBorder="1" applyAlignment="1">
      <alignment horizontal="left" vertical="center" wrapText="1"/>
    </xf>
    <xf numFmtId="166" fontId="9" fillId="0" borderId="16" xfId="0" applyNumberFormat="1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left" vertical="center" wrapText="1"/>
    </xf>
    <xf numFmtId="166" fontId="3" fillId="0" borderId="15" xfId="0" applyNumberFormat="1" applyFont="1" applyBorder="1" applyAlignment="1">
      <alignment horizontal="left" vertical="center" wrapText="1"/>
    </xf>
    <xf numFmtId="166" fontId="3" fillId="0" borderId="16" xfId="0" applyNumberFormat="1" applyFont="1" applyBorder="1" applyAlignment="1">
      <alignment horizontal="left" vertical="center" wrapText="1"/>
    </xf>
    <xf numFmtId="167" fontId="7" fillId="0" borderId="2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80" fontId="7" fillId="0" borderId="15" xfId="1" applyNumberFormat="1" applyFont="1" applyFill="1" applyBorder="1" applyAlignment="1">
      <alignment horizontal="center" vertical="center" wrapText="1"/>
    </xf>
    <xf numFmtId="180" fontId="7" fillId="0" borderId="16" xfId="1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5" fillId="0" borderId="15" xfId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0" fontId="5" fillId="0" borderId="15" xfId="2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top" wrapText="1"/>
    </xf>
    <xf numFmtId="0" fontId="12" fillId="3" borderId="15" xfId="0" applyFont="1" applyFill="1" applyBorder="1" applyAlignment="1">
      <alignment horizontal="left" vertical="distributed"/>
    </xf>
    <xf numFmtId="0" fontId="4" fillId="0" borderId="0" xfId="0" applyFont="1" applyAlignment="1">
      <alignment horizontal="center"/>
    </xf>
    <xf numFmtId="0" fontId="17" fillId="2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0" fillId="4" borderId="15" xfId="0" applyFill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25" fillId="7" borderId="0" xfId="0" applyFont="1" applyFill="1" applyAlignment="1">
      <alignment horizontal="center" wrapText="1"/>
    </xf>
    <xf numFmtId="0" fontId="25" fillId="7" borderId="0" xfId="0" applyFont="1" applyFill="1" applyAlignment="1">
      <alignment horizontal="center"/>
    </xf>
    <xf numFmtId="0" fontId="31" fillId="0" borderId="15" xfId="0" applyFont="1" applyBorder="1" applyAlignment="1">
      <alignment horizontal="center" wrapText="1"/>
    </xf>
    <xf numFmtId="0" fontId="3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4" fillId="2" borderId="0" xfId="0" applyFont="1" applyFill="1" applyAlignment="1">
      <alignment horizontal="center"/>
    </xf>
    <xf numFmtId="0" fontId="7" fillId="5" borderId="15" xfId="0" applyFont="1" applyFill="1" applyBorder="1" applyAlignment="1">
      <alignment horizontal="left" vertical="distributed"/>
    </xf>
    <xf numFmtId="0" fontId="7" fillId="3" borderId="15" xfId="0" applyFont="1" applyFill="1" applyBorder="1" applyAlignment="1">
      <alignment horizontal="left" vertical="distributed"/>
    </xf>
    <xf numFmtId="0" fontId="35" fillId="3" borderId="15" xfId="0" applyFont="1" applyFill="1" applyBorder="1" applyAlignment="1">
      <alignment horizontal="left" vertical="center" wrapText="1"/>
    </xf>
    <xf numFmtId="0" fontId="35" fillId="3" borderId="15" xfId="0" applyFont="1" applyFill="1" applyBorder="1" applyAlignment="1">
      <alignment horizontal="left" vertical="distributed"/>
    </xf>
  </cellXfs>
  <cellStyles count="3">
    <cellStyle name="Parasts" xfId="0" builtinId="0"/>
    <cellStyle name="Procenti" xfId="2" builtinId="5"/>
    <cellStyle name="Valū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opLeftCell="B1" zoomScale="89" zoomScaleNormal="89" workbookViewId="0">
      <selection activeCell="F27" sqref="F27:H27"/>
    </sheetView>
  </sheetViews>
  <sheetFormatPr defaultRowHeight="15" x14ac:dyDescent="0.25"/>
  <cols>
    <col min="1" max="1" width="19.28515625" customWidth="1"/>
    <col min="2" max="2" width="82.7109375" customWidth="1"/>
    <col min="3" max="3" width="34.140625" customWidth="1"/>
    <col min="4" max="4" width="26.28515625" customWidth="1"/>
    <col min="5" max="5" width="17.28515625" customWidth="1"/>
    <col min="6" max="6" width="65.42578125" customWidth="1"/>
    <col min="7" max="7" width="49.7109375" customWidth="1"/>
    <col min="8" max="8" width="14.85546875" customWidth="1"/>
  </cols>
  <sheetData>
    <row r="1" spans="1:8" ht="33" x14ac:dyDescent="0.45">
      <c r="A1" s="290" t="s">
        <v>0</v>
      </c>
      <c r="B1" s="290"/>
      <c r="C1" s="290"/>
      <c r="D1" s="290"/>
      <c r="E1" s="290"/>
      <c r="F1" s="290"/>
      <c r="G1" s="290"/>
      <c r="H1" s="290"/>
    </row>
    <row r="2" spans="1:8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</row>
    <row r="3" spans="1:8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</row>
    <row r="4" spans="1:8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</row>
    <row r="5" spans="1:8" ht="16.5" thickBot="1" x14ac:dyDescent="0.3">
      <c r="A5" s="292"/>
      <c r="B5" s="292"/>
      <c r="C5" s="292"/>
      <c r="D5" s="292"/>
      <c r="E5" s="292"/>
      <c r="F5" s="292"/>
      <c r="G5" s="292"/>
      <c r="H5" s="292"/>
    </row>
    <row r="6" spans="1:8" s="51" customFormat="1" ht="81.75" thickBot="1" x14ac:dyDescent="0.4">
      <c r="A6" s="48" t="s">
        <v>4</v>
      </c>
      <c r="B6" s="49" t="s">
        <v>5</v>
      </c>
      <c r="C6" s="49" t="s">
        <v>6</v>
      </c>
      <c r="D6" s="49" t="s">
        <v>7</v>
      </c>
      <c r="E6" s="50" t="s">
        <v>8</v>
      </c>
      <c r="F6" s="293" t="s">
        <v>9</v>
      </c>
      <c r="G6" s="294"/>
      <c r="H6" s="295"/>
    </row>
    <row r="7" spans="1:8" s="93" customFormat="1" ht="22.9" customHeight="1" thickBot="1" x14ac:dyDescent="0.3">
      <c r="A7" s="296" t="s">
        <v>10</v>
      </c>
      <c r="B7" s="297"/>
      <c r="C7" s="297"/>
      <c r="D7" s="297"/>
      <c r="E7" s="298"/>
      <c r="F7" s="94"/>
      <c r="G7" s="94"/>
      <c r="H7" s="95"/>
    </row>
    <row r="8" spans="1:8" ht="20.25" x14ac:dyDescent="0.25">
      <c r="A8" s="1">
        <v>1100</v>
      </c>
      <c r="B8" s="40" t="s">
        <v>11</v>
      </c>
      <c r="C8" s="2">
        <v>749.62</v>
      </c>
      <c r="D8" s="3">
        <f t="shared" ref="D8:D16" si="0">C8/$G$47</f>
        <v>0.68085376930063579</v>
      </c>
      <c r="E8" s="20">
        <f>C8/106872.63</f>
        <v>7.0141438458097265E-3</v>
      </c>
      <c r="F8" s="299">
        <v>1013</v>
      </c>
      <c r="G8" s="300"/>
      <c r="H8" s="301"/>
    </row>
    <row r="9" spans="1:8" ht="20.25" x14ac:dyDescent="0.25">
      <c r="A9" s="4">
        <v>1100</v>
      </c>
      <c r="B9" s="17" t="s">
        <v>12</v>
      </c>
      <c r="C9" s="5">
        <v>749.62</v>
      </c>
      <c r="D9" s="6">
        <f t="shared" si="0"/>
        <v>0.68085376930063579</v>
      </c>
      <c r="E9" s="20">
        <f t="shared" ref="E9:E28" si="1">C9/106872.63</f>
        <v>7.0141438458097265E-3</v>
      </c>
      <c r="F9" s="281">
        <v>1013</v>
      </c>
      <c r="G9" s="282"/>
      <c r="H9" s="283"/>
    </row>
    <row r="10" spans="1:8" ht="20.25" x14ac:dyDescent="0.25">
      <c r="A10" s="83">
        <v>1100</v>
      </c>
      <c r="B10" s="84" t="s">
        <v>13</v>
      </c>
      <c r="C10" s="85">
        <v>20160</v>
      </c>
      <c r="D10" s="86">
        <f t="shared" si="0"/>
        <v>18.310626702997276</v>
      </c>
      <c r="E10" s="88">
        <f t="shared" si="1"/>
        <v>0.18863576202812637</v>
      </c>
      <c r="F10" s="302">
        <v>700</v>
      </c>
      <c r="G10" s="303"/>
      <c r="H10" s="304"/>
    </row>
    <row r="11" spans="1:8" ht="20.25" x14ac:dyDescent="0.25">
      <c r="A11" s="4">
        <v>1100</v>
      </c>
      <c r="B11" s="17" t="s">
        <v>14</v>
      </c>
      <c r="C11" s="7">
        <v>1613.2</v>
      </c>
      <c r="D11" s="6">
        <f t="shared" si="0"/>
        <v>1.465213442325159</v>
      </c>
      <c r="E11" s="20">
        <f t="shared" si="1"/>
        <v>1.5094603735306224E-2</v>
      </c>
      <c r="F11" s="281">
        <v>1090</v>
      </c>
      <c r="G11" s="282"/>
      <c r="H11" s="283"/>
    </row>
    <row r="12" spans="1:8" ht="37.5" x14ac:dyDescent="0.25">
      <c r="A12" s="83">
        <v>1100</v>
      </c>
      <c r="B12" s="84" t="s">
        <v>15</v>
      </c>
      <c r="C12" s="89">
        <v>747.3</v>
      </c>
      <c r="D12" s="86">
        <f t="shared" si="0"/>
        <v>0.67874659400544957</v>
      </c>
      <c r="E12" s="88">
        <f t="shared" si="1"/>
        <v>6.9924357620842672E-3</v>
      </c>
      <c r="F12" s="281">
        <v>780</v>
      </c>
      <c r="G12" s="282"/>
      <c r="H12" s="283"/>
    </row>
    <row r="13" spans="1:8" ht="20.25" x14ac:dyDescent="0.25">
      <c r="A13" s="4">
        <v>1100</v>
      </c>
      <c r="B13" s="17" t="s">
        <v>16</v>
      </c>
      <c r="C13" s="7">
        <v>76.52</v>
      </c>
      <c r="D13" s="6">
        <f t="shared" si="0"/>
        <v>6.950045413260672E-2</v>
      </c>
      <c r="E13" s="20">
        <f t="shared" si="1"/>
        <v>7.1599248563453512E-4</v>
      </c>
      <c r="F13" s="281">
        <v>1726</v>
      </c>
      <c r="G13" s="282"/>
      <c r="H13" s="283"/>
    </row>
    <row r="14" spans="1:8" ht="37.5" x14ac:dyDescent="0.25">
      <c r="A14" s="8">
        <v>1100</v>
      </c>
      <c r="B14" s="41" t="s">
        <v>17</v>
      </c>
      <c r="C14" s="7">
        <v>26.07</v>
      </c>
      <c r="D14" s="6">
        <f t="shared" si="0"/>
        <v>2.3678474114441416E-2</v>
      </c>
      <c r="E14" s="20">
        <f t="shared" si="1"/>
        <v>2.439352339322051E-4</v>
      </c>
      <c r="F14" s="281">
        <v>1554</v>
      </c>
      <c r="G14" s="282"/>
      <c r="H14" s="283"/>
    </row>
    <row r="15" spans="1:8" ht="20.25" x14ac:dyDescent="0.25">
      <c r="A15" s="8">
        <v>1100</v>
      </c>
      <c r="B15" s="41" t="s">
        <v>18</v>
      </c>
      <c r="C15" s="7">
        <v>28.95</v>
      </c>
      <c r="D15" s="6">
        <f t="shared" si="0"/>
        <v>2.6294277929155313E-2</v>
      </c>
      <c r="E15" s="20">
        <f t="shared" si="1"/>
        <v>2.7088319993622315E-4</v>
      </c>
      <c r="F15" s="281">
        <v>1726</v>
      </c>
      <c r="G15" s="282"/>
      <c r="H15" s="283"/>
    </row>
    <row r="16" spans="1:8" ht="21" thickBot="1" x14ac:dyDescent="0.3">
      <c r="A16" s="8">
        <v>1200</v>
      </c>
      <c r="B16" s="41" t="s">
        <v>19</v>
      </c>
      <c r="C16" s="9">
        <f>SUM(C8:C15)*0.2359</f>
        <v>5697.2869520000004</v>
      </c>
      <c r="D16" s="10">
        <f t="shared" si="0"/>
        <v>5.1746475495004542</v>
      </c>
      <c r="E16" s="20">
        <f t="shared" si="1"/>
        <v>5.3309130242233209E-2</v>
      </c>
      <c r="F16" s="284"/>
      <c r="G16" s="285"/>
      <c r="H16" s="286"/>
    </row>
    <row r="17" spans="1:8" ht="21" thickBot="1" x14ac:dyDescent="0.3">
      <c r="A17" s="242" t="s">
        <v>20</v>
      </c>
      <c r="B17" s="243"/>
      <c r="C17" s="47">
        <f>SUM(C8:C16)</f>
        <v>29848.566952000001</v>
      </c>
      <c r="D17" s="43">
        <f>SUM(D8:D16)</f>
        <v>27.110415033605811</v>
      </c>
      <c r="E17" s="65">
        <f>SUM(E8:E16)</f>
        <v>0.27929103037887248</v>
      </c>
      <c r="F17" s="287"/>
      <c r="G17" s="288"/>
      <c r="H17" s="289"/>
    </row>
    <row r="18" spans="1:8" ht="20.25" x14ac:dyDescent="0.25">
      <c r="A18" s="260">
        <v>2210</v>
      </c>
      <c r="B18" s="11" t="s">
        <v>21</v>
      </c>
      <c r="C18" s="12">
        <f>F18*H18</f>
        <v>60</v>
      </c>
      <c r="D18" s="13">
        <f t="shared" ref="D18:D28" si="2">C18/$G$47</f>
        <v>5.4495912806539509E-2</v>
      </c>
      <c r="E18" s="20">
        <f t="shared" si="1"/>
        <v>5.6141595841704278E-4</v>
      </c>
      <c r="F18" s="262">
        <v>5</v>
      </c>
      <c r="G18" s="263"/>
      <c r="H18" s="14">
        <v>12</v>
      </c>
    </row>
    <row r="19" spans="1:8" ht="20.25" x14ac:dyDescent="0.25">
      <c r="A19" s="261"/>
      <c r="B19" s="15" t="s">
        <v>22</v>
      </c>
      <c r="C19" s="5">
        <f>F19*G19*H19</f>
        <v>576</v>
      </c>
      <c r="D19" s="6">
        <f t="shared" si="2"/>
        <v>0.52316076294277924</v>
      </c>
      <c r="E19" s="20">
        <f t="shared" si="1"/>
        <v>5.3895932008036105E-3</v>
      </c>
      <c r="F19" s="60">
        <v>16</v>
      </c>
      <c r="G19" s="16">
        <v>3</v>
      </c>
      <c r="H19" s="14">
        <v>12</v>
      </c>
    </row>
    <row r="20" spans="1:8" ht="20.25" x14ac:dyDescent="0.25">
      <c r="A20" s="4">
        <v>2222</v>
      </c>
      <c r="B20" s="17" t="s">
        <v>23</v>
      </c>
      <c r="C20" s="5">
        <f>F20*G20</f>
        <v>11.6</v>
      </c>
      <c r="D20" s="6">
        <f t="shared" si="2"/>
        <v>1.0535876475930971E-2</v>
      </c>
      <c r="E20" s="20">
        <f t="shared" si="1"/>
        <v>1.0854041862729493E-4</v>
      </c>
      <c r="F20" s="61">
        <v>8</v>
      </c>
      <c r="G20" s="264">
        <v>1.45</v>
      </c>
      <c r="H20" s="265"/>
    </row>
    <row r="21" spans="1:8" ht="20.25" x14ac:dyDescent="0.25">
      <c r="A21" s="261">
        <v>2223</v>
      </c>
      <c r="B21" s="15" t="s">
        <v>24</v>
      </c>
      <c r="C21" s="5">
        <f>F21*G21</f>
        <v>3116.7929400000003</v>
      </c>
      <c r="D21" s="6">
        <f t="shared" si="2"/>
        <v>2.8308746049046323</v>
      </c>
      <c r="E21" s="20">
        <f t="shared" si="1"/>
        <v>2.9163621593292877E-2</v>
      </c>
      <c r="F21" s="87">
        <v>24762</v>
      </c>
      <c r="G21" s="266">
        <v>0.12587000000000001</v>
      </c>
      <c r="H21" s="267"/>
    </row>
    <row r="22" spans="1:8" ht="20.25" x14ac:dyDescent="0.25">
      <c r="A22" s="261"/>
      <c r="B22" s="15" t="s">
        <v>25</v>
      </c>
      <c r="C22" s="5">
        <f>F22*G22</f>
        <v>787.19999999999993</v>
      </c>
      <c r="D22" s="6">
        <f t="shared" si="2"/>
        <v>0.71498637602179826</v>
      </c>
      <c r="E22" s="20">
        <f t="shared" si="1"/>
        <v>7.3657773744316007E-3</v>
      </c>
      <c r="F22" s="63">
        <v>12</v>
      </c>
      <c r="G22" s="268">
        <v>65.599999999999994</v>
      </c>
      <c r="H22" s="269"/>
    </row>
    <row r="23" spans="1:8" ht="20.25" x14ac:dyDescent="0.25">
      <c r="A23" s="4">
        <v>2243</v>
      </c>
      <c r="B23" s="17" t="s">
        <v>26</v>
      </c>
      <c r="C23" s="5">
        <v>500</v>
      </c>
      <c r="D23" s="6">
        <f t="shared" si="2"/>
        <v>0.45413260672116257</v>
      </c>
      <c r="E23" s="20">
        <f t="shared" si="1"/>
        <v>4.6784663201420232E-3</v>
      </c>
      <c r="F23" s="270" t="s">
        <v>27</v>
      </c>
      <c r="G23" s="271"/>
      <c r="H23" s="272"/>
    </row>
    <row r="24" spans="1:8" ht="20.25" x14ac:dyDescent="0.25">
      <c r="A24" s="4">
        <v>2310</v>
      </c>
      <c r="B24" s="17" t="s">
        <v>28</v>
      </c>
      <c r="C24" s="5">
        <v>40</v>
      </c>
      <c r="D24" s="6">
        <f t="shared" si="2"/>
        <v>3.6330608537693009E-2</v>
      </c>
      <c r="E24" s="20">
        <f t="shared" si="1"/>
        <v>3.7427730561136185E-4</v>
      </c>
      <c r="F24" s="270" t="s">
        <v>29</v>
      </c>
      <c r="G24" s="271"/>
      <c r="H24" s="272"/>
    </row>
    <row r="25" spans="1:8" ht="20.25" x14ac:dyDescent="0.25">
      <c r="A25" s="4">
        <v>2321</v>
      </c>
      <c r="B25" s="84" t="s">
        <v>30</v>
      </c>
      <c r="C25" s="91">
        <f>F25*G25</f>
        <v>54000</v>
      </c>
      <c r="D25" s="86">
        <f t="shared" si="2"/>
        <v>49.04632152588556</v>
      </c>
      <c r="E25" s="88">
        <f t="shared" si="1"/>
        <v>0.50527436257533853</v>
      </c>
      <c r="F25" s="92">
        <v>1200</v>
      </c>
      <c r="G25" s="273">
        <v>45</v>
      </c>
      <c r="H25" s="274"/>
    </row>
    <row r="26" spans="1:8" ht="20.25" x14ac:dyDescent="0.25">
      <c r="A26" s="4">
        <v>2322</v>
      </c>
      <c r="B26" s="17" t="s">
        <v>31</v>
      </c>
      <c r="C26" s="5">
        <v>500</v>
      </c>
      <c r="D26" s="6">
        <f t="shared" si="2"/>
        <v>0.45413260672116257</v>
      </c>
      <c r="E26" s="20">
        <f t="shared" si="1"/>
        <v>4.6784663201420232E-3</v>
      </c>
      <c r="F26" s="64" t="s">
        <v>32</v>
      </c>
      <c r="G26" s="18"/>
      <c r="H26" s="19"/>
    </row>
    <row r="27" spans="1:8" ht="20.25" x14ac:dyDescent="0.25">
      <c r="A27" s="4">
        <v>2350</v>
      </c>
      <c r="B27" s="17" t="s">
        <v>33</v>
      </c>
      <c r="C27" s="5">
        <v>250</v>
      </c>
      <c r="D27" s="6">
        <f t="shared" si="2"/>
        <v>0.22706630336058128</v>
      </c>
      <c r="E27" s="20">
        <f t="shared" si="1"/>
        <v>2.3392331600710116E-3</v>
      </c>
      <c r="F27" s="275" t="s">
        <v>34</v>
      </c>
      <c r="G27" s="276"/>
      <c r="H27" s="277"/>
    </row>
    <row r="28" spans="1:8" ht="20.25" x14ac:dyDescent="0.25">
      <c r="A28" s="4">
        <v>2515</v>
      </c>
      <c r="B28" s="17" t="s">
        <v>35</v>
      </c>
      <c r="C28" s="5">
        <v>428.62</v>
      </c>
      <c r="D28" s="6">
        <f t="shared" si="2"/>
        <v>0.38930063578564944</v>
      </c>
      <c r="E28" s="20">
        <f t="shared" si="1"/>
        <v>4.0105684682785478E-3</v>
      </c>
      <c r="F28" s="278"/>
      <c r="G28" s="279"/>
      <c r="H28" s="280"/>
    </row>
    <row r="29" spans="1:8" ht="21" thickBot="1" x14ac:dyDescent="0.3">
      <c r="A29" s="255" t="s">
        <v>36</v>
      </c>
      <c r="B29" s="256"/>
      <c r="C29" s="44">
        <f>SUM(C18:C28)</f>
        <v>60270.212940000005</v>
      </c>
      <c r="D29" s="45">
        <f>C29/$G$47</f>
        <v>54.741337820163494</v>
      </c>
      <c r="E29" s="46">
        <f>SUM(E18:E28)</f>
        <v>0.56394432269515593</v>
      </c>
      <c r="F29" s="257"/>
      <c r="G29" s="258"/>
      <c r="H29" s="259"/>
    </row>
    <row r="30" spans="1:8" ht="22.9" customHeight="1" thickBot="1" x14ac:dyDescent="0.3">
      <c r="A30" s="248" t="s">
        <v>37</v>
      </c>
      <c r="B30" s="249"/>
      <c r="C30" s="249"/>
      <c r="D30" s="249"/>
      <c r="E30" s="249"/>
      <c r="F30" s="96"/>
      <c r="G30" s="96"/>
      <c r="H30" s="97"/>
    </row>
    <row r="31" spans="1:8" ht="21" thickBot="1" x14ac:dyDescent="0.35">
      <c r="A31" s="251" t="s">
        <v>38</v>
      </c>
      <c r="B31" s="252"/>
      <c r="C31" s="2">
        <v>334.92</v>
      </c>
      <c r="D31" s="55">
        <f t="shared" ref="D31:D45" si="3">C31/$G$47</f>
        <v>0.30419618528610354</v>
      </c>
      <c r="E31" s="20">
        <f t="shared" ref="E31:E44" si="4">C31/106872.63</f>
        <v>3.1338238798839331E-3</v>
      </c>
      <c r="F31" s="23"/>
      <c r="G31" s="24"/>
      <c r="H31" s="25"/>
    </row>
    <row r="32" spans="1:8" ht="40.9" customHeight="1" x14ac:dyDescent="0.3">
      <c r="A32" s="253" t="s">
        <v>53</v>
      </c>
      <c r="B32" s="254"/>
      <c r="C32" s="26">
        <f>100000*0.1</f>
        <v>10000</v>
      </c>
      <c r="D32" s="56">
        <f t="shared" si="3"/>
        <v>9.0826521344232525</v>
      </c>
      <c r="E32" s="54">
        <f t="shared" si="4"/>
        <v>9.3569326402840464E-2</v>
      </c>
      <c r="F32" s="27"/>
      <c r="G32" s="28"/>
      <c r="H32" s="29"/>
    </row>
    <row r="33" spans="1:8" ht="20.25" x14ac:dyDescent="0.3">
      <c r="A33" s="250" t="s">
        <v>39</v>
      </c>
      <c r="B33" s="239"/>
      <c r="C33" s="5">
        <v>93.24</v>
      </c>
      <c r="D33" s="6">
        <f t="shared" si="3"/>
        <v>8.4686648501362399E-2</v>
      </c>
      <c r="E33" s="20">
        <f t="shared" si="4"/>
        <v>8.7244039938008439E-4</v>
      </c>
      <c r="F33" s="30"/>
      <c r="G33" s="31"/>
      <c r="H33" s="32"/>
    </row>
    <row r="34" spans="1:8" ht="20.25" x14ac:dyDescent="0.3">
      <c r="A34" s="250" t="s">
        <v>40</v>
      </c>
      <c r="B34" s="239"/>
      <c r="C34" s="5">
        <v>93.24</v>
      </c>
      <c r="D34" s="6">
        <f t="shared" si="3"/>
        <v>8.4686648501362399E-2</v>
      </c>
      <c r="E34" s="20">
        <f t="shared" si="4"/>
        <v>8.7244039938008439E-4</v>
      </c>
      <c r="F34" s="30"/>
      <c r="G34" s="31"/>
      <c r="H34" s="32"/>
    </row>
    <row r="35" spans="1:8" ht="20.25" x14ac:dyDescent="0.3">
      <c r="A35" s="250" t="s">
        <v>40</v>
      </c>
      <c r="B35" s="239"/>
      <c r="C35" s="5">
        <v>93.24</v>
      </c>
      <c r="D35" s="6">
        <f t="shared" si="3"/>
        <v>8.4686648501362399E-2</v>
      </c>
      <c r="E35" s="20">
        <f t="shared" si="4"/>
        <v>8.7244039938008439E-4</v>
      </c>
      <c r="F35" s="30"/>
      <c r="G35" s="31"/>
      <c r="H35" s="32"/>
    </row>
    <row r="36" spans="1:8" ht="20.25" x14ac:dyDescent="0.3">
      <c r="A36" s="250" t="s">
        <v>41</v>
      </c>
      <c r="B36" s="239"/>
      <c r="C36" s="5">
        <v>93.24</v>
      </c>
      <c r="D36" s="6">
        <f t="shared" si="3"/>
        <v>8.4686648501362399E-2</v>
      </c>
      <c r="E36" s="20">
        <f t="shared" si="4"/>
        <v>8.7244039938008439E-4</v>
      </c>
      <c r="F36" s="30"/>
      <c r="G36" s="31"/>
      <c r="H36" s="32"/>
    </row>
    <row r="37" spans="1:8" ht="20.25" x14ac:dyDescent="0.3">
      <c r="A37" s="250" t="s">
        <v>42</v>
      </c>
      <c r="B37" s="239"/>
      <c r="C37" s="5">
        <v>35.64</v>
      </c>
      <c r="D37" s="6">
        <f t="shared" si="3"/>
        <v>3.2370572207084468E-2</v>
      </c>
      <c r="E37" s="20">
        <f t="shared" si="4"/>
        <v>3.3348107929972342E-4</v>
      </c>
      <c r="F37" s="30"/>
      <c r="G37" s="31"/>
      <c r="H37" s="32"/>
    </row>
    <row r="38" spans="1:8" ht="20.25" x14ac:dyDescent="0.3">
      <c r="A38" s="250" t="s">
        <v>43</v>
      </c>
      <c r="B38" s="239"/>
      <c r="C38" s="5">
        <v>129.6</v>
      </c>
      <c r="D38" s="6">
        <f t="shared" si="3"/>
        <v>0.11771117166212533</v>
      </c>
      <c r="E38" s="20">
        <f t="shared" si="4"/>
        <v>1.2126584701808124E-3</v>
      </c>
      <c r="F38" s="30"/>
      <c r="G38" s="31"/>
      <c r="H38" s="32"/>
    </row>
    <row r="39" spans="1:8" ht="20.25" x14ac:dyDescent="0.3">
      <c r="A39" s="250" t="s">
        <v>44</v>
      </c>
      <c r="B39" s="239"/>
      <c r="C39" s="5">
        <v>78.959999999999994</v>
      </c>
      <c r="D39" s="6">
        <f t="shared" si="3"/>
        <v>7.1716621253405985E-2</v>
      </c>
      <c r="E39" s="20">
        <f t="shared" si="4"/>
        <v>7.3882340127682828E-4</v>
      </c>
      <c r="F39" s="30"/>
      <c r="G39" s="31"/>
      <c r="H39" s="32"/>
    </row>
    <row r="40" spans="1:8" ht="20.25" x14ac:dyDescent="0.3">
      <c r="A40" s="250" t="s">
        <v>45</v>
      </c>
      <c r="B40" s="239"/>
      <c r="C40" s="5">
        <v>91.68</v>
      </c>
      <c r="D40" s="6">
        <f t="shared" si="3"/>
        <v>8.3269754768392379E-2</v>
      </c>
      <c r="E40" s="20">
        <f t="shared" si="4"/>
        <v>8.578435844612414E-4</v>
      </c>
      <c r="F40" s="30"/>
      <c r="G40" s="31"/>
      <c r="H40" s="32"/>
    </row>
    <row r="41" spans="1:8" ht="20.25" x14ac:dyDescent="0.3">
      <c r="A41" s="250" t="s">
        <v>46</v>
      </c>
      <c r="B41" s="239"/>
      <c r="C41" s="5">
        <v>81.599999999999994</v>
      </c>
      <c r="D41" s="6">
        <f>C41/$G$47</f>
        <v>7.4114441416893731E-2</v>
      </c>
      <c r="E41" s="20">
        <f t="shared" si="4"/>
        <v>7.6352570344717814E-4</v>
      </c>
      <c r="F41" s="30"/>
      <c r="G41" s="31"/>
      <c r="H41" s="32"/>
    </row>
    <row r="42" spans="1:8" ht="20.25" x14ac:dyDescent="0.3">
      <c r="A42" s="239" t="s">
        <v>47</v>
      </c>
      <c r="B42" s="239"/>
      <c r="C42" s="5">
        <v>271.68</v>
      </c>
      <c r="D42" s="6">
        <f t="shared" si="3"/>
        <v>0.24675749318801091</v>
      </c>
      <c r="E42" s="20">
        <f t="shared" si="4"/>
        <v>2.5420914597123695E-3</v>
      </c>
      <c r="F42" s="30"/>
      <c r="G42" s="31"/>
      <c r="H42" s="32"/>
    </row>
    <row r="43" spans="1:8" ht="20.25" x14ac:dyDescent="0.3">
      <c r="A43" s="239" t="s">
        <v>48</v>
      </c>
      <c r="B43" s="239"/>
      <c r="C43" s="5">
        <v>77.040000000000006</v>
      </c>
      <c r="D43" s="6">
        <f t="shared" si="3"/>
        <v>6.9972752043596737E-2</v>
      </c>
      <c r="E43" s="20">
        <f t="shared" si="4"/>
        <v>7.20858090607483E-4</v>
      </c>
      <c r="F43" s="30"/>
      <c r="G43" s="31"/>
      <c r="H43" s="32"/>
    </row>
    <row r="44" spans="1:8" ht="21" thickBot="1" x14ac:dyDescent="0.35">
      <c r="A44" s="240" t="s">
        <v>49</v>
      </c>
      <c r="B44" s="241"/>
      <c r="C44" s="57">
        <v>5279.77</v>
      </c>
      <c r="D44" s="21">
        <f t="shared" si="3"/>
        <v>4.7954314259763855</v>
      </c>
      <c r="E44" s="20">
        <f t="shared" si="4"/>
        <v>4.9402452246192503E-2</v>
      </c>
      <c r="F44" s="30"/>
      <c r="G44" s="31"/>
      <c r="H44" s="32"/>
    </row>
    <row r="45" spans="1:8" ht="21" thickBot="1" x14ac:dyDescent="0.35">
      <c r="A45" s="242" t="s">
        <v>50</v>
      </c>
      <c r="B45" s="243"/>
      <c r="C45" s="42">
        <f>SUM(C31:C44)</f>
        <v>16753.849999999999</v>
      </c>
      <c r="D45" s="43">
        <f t="shared" si="3"/>
        <v>15.216939146230699</v>
      </c>
      <c r="E45" s="53">
        <f>SUM(E31:E44)</f>
        <v>0.15676464591542291</v>
      </c>
      <c r="F45" s="30"/>
      <c r="G45" s="33"/>
      <c r="H45" s="34"/>
    </row>
    <row r="46" spans="1:8" ht="24" thickBot="1" x14ac:dyDescent="0.4">
      <c r="A46" s="244" t="s">
        <v>51</v>
      </c>
      <c r="B46" s="245"/>
      <c r="C46" s="246">
        <f>C29+C45+C17</f>
        <v>106872.629892</v>
      </c>
      <c r="D46" s="233">
        <f>C46/F47</f>
        <v>97.156936265454547</v>
      </c>
      <c r="E46" s="235">
        <f>SUM(E45,E29,E17)</f>
        <v>0.99999999898945136</v>
      </c>
      <c r="F46" s="35"/>
      <c r="G46" s="36"/>
      <c r="H46" s="37"/>
    </row>
    <row r="47" spans="1:8" ht="36" customHeight="1" thickBot="1" x14ac:dyDescent="0.3">
      <c r="A47" s="237" t="s">
        <v>52</v>
      </c>
      <c r="B47" s="238"/>
      <c r="C47" s="247"/>
      <c r="D47" s="234"/>
      <c r="E47" s="236"/>
      <c r="F47" s="82">
        <v>1100</v>
      </c>
      <c r="G47" s="71">
        <v>1101</v>
      </c>
      <c r="H47" s="39"/>
    </row>
    <row r="49" spans="3:3" x14ac:dyDescent="0.25">
      <c r="C49" s="52"/>
    </row>
  </sheetData>
  <mergeCells count="52">
    <mergeCell ref="F12:H12"/>
    <mergeCell ref="A1:H1"/>
    <mergeCell ref="A2:H2"/>
    <mergeCell ref="A3:H3"/>
    <mergeCell ref="A4:H4"/>
    <mergeCell ref="A5:H5"/>
    <mergeCell ref="F6:H6"/>
    <mergeCell ref="A7:E7"/>
    <mergeCell ref="F8:H8"/>
    <mergeCell ref="F9:H9"/>
    <mergeCell ref="F10:H10"/>
    <mergeCell ref="F11:H11"/>
    <mergeCell ref="F13:H13"/>
    <mergeCell ref="F14:H14"/>
    <mergeCell ref="F15:H15"/>
    <mergeCell ref="F16:H16"/>
    <mergeCell ref="A17:B17"/>
    <mergeCell ref="F17:H17"/>
    <mergeCell ref="A29:B29"/>
    <mergeCell ref="F29:H29"/>
    <mergeCell ref="A18:A19"/>
    <mergeCell ref="F18:G18"/>
    <mergeCell ref="G20:H20"/>
    <mergeCell ref="A21:A22"/>
    <mergeCell ref="G21:H21"/>
    <mergeCell ref="G22:H22"/>
    <mergeCell ref="F23:H23"/>
    <mergeCell ref="F24:H24"/>
    <mergeCell ref="G25:H25"/>
    <mergeCell ref="F27:H27"/>
    <mergeCell ref="F28:H28"/>
    <mergeCell ref="A41:B41"/>
    <mergeCell ref="A31:B31"/>
    <mergeCell ref="A32:B32"/>
    <mergeCell ref="A33:B33"/>
    <mergeCell ref="A34:B34"/>
    <mergeCell ref="A35:B35"/>
    <mergeCell ref="A40:B40"/>
    <mergeCell ref="A30:E30"/>
    <mergeCell ref="A36:B36"/>
    <mergeCell ref="A37:B37"/>
    <mergeCell ref="A38:B38"/>
    <mergeCell ref="A39:B39"/>
    <mergeCell ref="D46:D47"/>
    <mergeCell ref="E46:E47"/>
    <mergeCell ref="A47:B47"/>
    <mergeCell ref="A42:B42"/>
    <mergeCell ref="A43:B43"/>
    <mergeCell ref="A44:B44"/>
    <mergeCell ref="A45:B45"/>
    <mergeCell ref="A46:B46"/>
    <mergeCell ref="C46:C47"/>
  </mergeCells>
  <pageMargins left="0.7" right="0.7" top="0.75" bottom="0.75" header="0.3" footer="0.3"/>
  <pageSetup paperSize="9"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FBBD-1F0D-4693-AAB1-8C74581A42C4}">
  <sheetPr>
    <pageSetUpPr fitToPage="1"/>
  </sheetPr>
  <dimension ref="A1:S53"/>
  <sheetViews>
    <sheetView topLeftCell="A22" zoomScale="58" zoomScaleNormal="58" workbookViewId="0">
      <selection activeCell="E52" sqref="E52"/>
    </sheetView>
  </sheetViews>
  <sheetFormatPr defaultRowHeight="15" x14ac:dyDescent="0.25"/>
  <cols>
    <col min="1" max="1" width="19.28515625" customWidth="1"/>
    <col min="2" max="2" width="73.28515625" customWidth="1"/>
    <col min="3" max="3" width="27.140625" customWidth="1"/>
    <col min="4" max="4" width="26.28515625" customWidth="1"/>
    <col min="5" max="5" width="18.28515625" customWidth="1"/>
    <col min="6" max="6" width="65.42578125" hidden="1" customWidth="1"/>
    <col min="7" max="7" width="49.7109375" hidden="1" customWidth="1"/>
    <col min="8" max="8" width="14.85546875" hidden="1" customWidth="1"/>
    <col min="9" max="9" width="10.42578125" customWidth="1"/>
    <col min="10" max="10" width="22.42578125" customWidth="1"/>
    <col min="11" max="11" width="73.28515625" customWidth="1"/>
    <col min="12" max="12" width="36.28515625" customWidth="1"/>
    <col min="13" max="13" width="26.28515625" customWidth="1"/>
    <col min="14" max="14" width="18.7109375" customWidth="1"/>
    <col min="15" max="15" width="72.42578125" hidden="1" customWidth="1"/>
    <col min="16" max="16" width="49.7109375" hidden="1" customWidth="1"/>
    <col min="17" max="17" width="9.85546875" hidden="1" customWidth="1"/>
    <col min="18" max="19" width="12.28515625" hidden="1" customWidth="1"/>
  </cols>
  <sheetData>
    <row r="1" spans="1:17" ht="33" x14ac:dyDescent="0.45">
      <c r="A1" s="290" t="s">
        <v>160</v>
      </c>
      <c r="B1" s="290"/>
      <c r="C1" s="290"/>
      <c r="D1" s="290"/>
      <c r="E1" s="290"/>
      <c r="F1" s="290"/>
      <c r="G1" s="290"/>
      <c r="H1" s="290"/>
      <c r="J1" s="290" t="s">
        <v>160</v>
      </c>
      <c r="K1" s="290"/>
      <c r="L1" s="290"/>
      <c r="M1" s="290"/>
      <c r="N1" s="290"/>
      <c r="O1" s="290"/>
      <c r="P1" s="290"/>
      <c r="Q1" s="290"/>
    </row>
    <row r="2" spans="1:17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  <c r="J2" s="291" t="s">
        <v>1</v>
      </c>
      <c r="K2" s="291"/>
      <c r="L2" s="291"/>
      <c r="M2" s="291"/>
      <c r="N2" s="291"/>
      <c r="O2" s="291"/>
      <c r="P2" s="291"/>
      <c r="Q2" s="291"/>
    </row>
    <row r="3" spans="1:17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  <c r="J3" s="291" t="s">
        <v>2</v>
      </c>
      <c r="K3" s="291"/>
      <c r="L3" s="291"/>
      <c r="M3" s="291"/>
      <c r="N3" s="291"/>
      <c r="O3" s="291"/>
      <c r="P3" s="291"/>
      <c r="Q3" s="291"/>
    </row>
    <row r="4" spans="1:17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  <c r="J4" s="291" t="s">
        <v>3</v>
      </c>
      <c r="K4" s="291"/>
      <c r="L4" s="291"/>
      <c r="M4" s="291"/>
      <c r="N4" s="291"/>
      <c r="O4" s="291"/>
      <c r="P4" s="291"/>
      <c r="Q4" s="291"/>
    </row>
    <row r="5" spans="1:17" s="164" customFormat="1" ht="28.5" x14ac:dyDescent="0.45">
      <c r="A5" s="163"/>
      <c r="B5" s="339" t="s">
        <v>139</v>
      </c>
      <c r="C5" s="339"/>
      <c r="D5" s="339"/>
      <c r="E5" s="163"/>
      <c r="F5" s="163"/>
      <c r="G5" s="163"/>
      <c r="H5" s="163"/>
      <c r="J5" s="163"/>
      <c r="K5" s="339" t="s">
        <v>140</v>
      </c>
      <c r="L5" s="339"/>
      <c r="M5" s="339"/>
      <c r="N5" s="163"/>
      <c r="O5" s="163"/>
      <c r="P5" s="163"/>
      <c r="Q5" s="163"/>
    </row>
    <row r="6" spans="1:17" ht="16.5" thickBot="1" x14ac:dyDescent="0.3">
      <c r="A6" s="326"/>
      <c r="B6" s="326"/>
      <c r="C6" s="326"/>
      <c r="D6" s="326"/>
      <c r="E6" s="326"/>
      <c r="F6" s="292"/>
      <c r="G6" s="292"/>
      <c r="H6" s="292"/>
      <c r="J6" s="326"/>
      <c r="K6" s="326"/>
      <c r="L6" s="326"/>
      <c r="M6" s="326"/>
      <c r="N6" s="326"/>
      <c r="O6" s="326"/>
      <c r="P6" s="326"/>
      <c r="Q6" s="326"/>
    </row>
    <row r="7" spans="1:17" s="51" customFormat="1" ht="122.25" thickBot="1" x14ac:dyDescent="0.4">
      <c r="A7" s="101" t="s">
        <v>4</v>
      </c>
      <c r="B7" s="101" t="s">
        <v>5</v>
      </c>
      <c r="C7" s="101" t="s">
        <v>6</v>
      </c>
      <c r="D7" s="101" t="s">
        <v>7</v>
      </c>
      <c r="E7" s="101" t="s">
        <v>8</v>
      </c>
      <c r="F7" s="294" t="s">
        <v>9</v>
      </c>
      <c r="G7" s="294"/>
      <c r="H7" s="295"/>
      <c r="J7" s="101" t="s">
        <v>4</v>
      </c>
      <c r="K7" s="101" t="s">
        <v>5</v>
      </c>
      <c r="L7" s="101" t="s">
        <v>6</v>
      </c>
      <c r="M7" s="101" t="s">
        <v>7</v>
      </c>
      <c r="N7" s="101" t="s">
        <v>8</v>
      </c>
      <c r="O7" s="327" t="s">
        <v>9</v>
      </c>
      <c r="P7" s="327"/>
      <c r="Q7" s="327"/>
    </row>
    <row r="8" spans="1:17" s="93" customFormat="1" ht="22.9" customHeight="1" thickBot="1" x14ac:dyDescent="0.3">
      <c r="A8" s="328" t="s">
        <v>10</v>
      </c>
      <c r="B8" s="328"/>
      <c r="C8" s="328"/>
      <c r="D8" s="328"/>
      <c r="E8" s="328"/>
      <c r="F8" s="98"/>
      <c r="G8" s="94"/>
      <c r="H8" s="95"/>
      <c r="J8" s="328" t="s">
        <v>10</v>
      </c>
      <c r="K8" s="328"/>
      <c r="L8" s="328"/>
      <c r="M8" s="328"/>
      <c r="N8" s="328"/>
      <c r="O8" s="328"/>
      <c r="P8" s="328"/>
      <c r="Q8" s="328"/>
    </row>
    <row r="9" spans="1:17" ht="20.25" x14ac:dyDescent="0.25">
      <c r="A9" s="58">
        <v>1100</v>
      </c>
      <c r="B9" s="17" t="s">
        <v>11</v>
      </c>
      <c r="C9" s="5">
        <v>749.62</v>
      </c>
      <c r="D9" s="6">
        <v>0.68085376930063579</v>
      </c>
      <c r="E9" s="20">
        <v>6.9134818665477979E-3</v>
      </c>
      <c r="F9" s="299">
        <v>1013</v>
      </c>
      <c r="G9" s="300"/>
      <c r="H9" s="301"/>
      <c r="J9" s="58">
        <v>1100</v>
      </c>
      <c r="K9" s="17" t="s">
        <v>11</v>
      </c>
      <c r="L9" s="5">
        <v>749.62</v>
      </c>
      <c r="M9" s="108">
        <v>0.68147272727272723</v>
      </c>
      <c r="N9" s="20">
        <v>7.158706375853998E-3</v>
      </c>
      <c r="O9" s="282">
        <v>1013</v>
      </c>
      <c r="P9" s="282"/>
      <c r="Q9" s="282"/>
    </row>
    <row r="10" spans="1:17" ht="20.25" x14ac:dyDescent="0.25">
      <c r="A10" s="58">
        <v>1100</v>
      </c>
      <c r="B10" s="17" t="s">
        <v>12</v>
      </c>
      <c r="C10" s="5">
        <v>749.62</v>
      </c>
      <c r="D10" s="6">
        <v>0.68085376930063579</v>
      </c>
      <c r="E10" s="20">
        <v>6.9134818665477979E-3</v>
      </c>
      <c r="F10" s="281">
        <v>1013</v>
      </c>
      <c r="G10" s="282"/>
      <c r="H10" s="283"/>
      <c r="J10" s="58">
        <v>1100</v>
      </c>
      <c r="K10" s="17" t="s">
        <v>12</v>
      </c>
      <c r="L10" s="5">
        <v>749.62</v>
      </c>
      <c r="M10" s="108">
        <v>0.68147272727272723</v>
      </c>
      <c r="N10" s="20">
        <v>7.158706375853998E-3</v>
      </c>
      <c r="O10" s="282">
        <v>1013</v>
      </c>
      <c r="P10" s="282"/>
      <c r="Q10" s="282"/>
    </row>
    <row r="11" spans="1:17" ht="37.5" x14ac:dyDescent="0.25">
      <c r="A11" s="102">
        <v>1100</v>
      </c>
      <c r="B11" s="84" t="s">
        <v>102</v>
      </c>
      <c r="C11" s="85">
        <v>30881.51</v>
      </c>
      <c r="D11" s="86">
        <v>28.048601271571297</v>
      </c>
      <c r="E11" s="20">
        <v>0.28480931591554981</v>
      </c>
      <c r="F11" s="302">
        <v>700</v>
      </c>
      <c r="G11" s="303"/>
      <c r="H11" s="304"/>
      <c r="J11" s="102">
        <v>1100</v>
      </c>
      <c r="K11" s="84" t="s">
        <v>103</v>
      </c>
      <c r="L11" s="91">
        <v>7168.22</v>
      </c>
      <c r="M11" s="124">
        <v>6.516563636363637</v>
      </c>
      <c r="N11" s="20">
        <v>6.8454926786270576E-2</v>
      </c>
      <c r="O11" s="309">
        <v>700</v>
      </c>
      <c r="P11" s="309"/>
      <c r="Q11" s="309"/>
    </row>
    <row r="12" spans="1:17" ht="37.5" x14ac:dyDescent="0.25">
      <c r="A12" s="58">
        <v>1100</v>
      </c>
      <c r="B12" s="17" t="s">
        <v>14</v>
      </c>
      <c r="C12" s="7">
        <v>1613.2</v>
      </c>
      <c r="D12" s="6">
        <v>1.465213442325159</v>
      </c>
      <c r="E12" s="20">
        <v>1.4877976771050542E-2</v>
      </c>
      <c r="F12" s="281">
        <v>1090</v>
      </c>
      <c r="G12" s="282"/>
      <c r="H12" s="283"/>
      <c r="J12" s="58">
        <v>1100</v>
      </c>
      <c r="K12" s="17" t="s">
        <v>14</v>
      </c>
      <c r="L12" s="7">
        <v>1613.2</v>
      </c>
      <c r="M12" s="108">
        <v>1.4665454545454546</v>
      </c>
      <c r="N12" s="20">
        <v>1.5405705724937527E-2</v>
      </c>
      <c r="O12" s="282">
        <v>1090</v>
      </c>
      <c r="P12" s="282"/>
      <c r="Q12" s="282"/>
    </row>
    <row r="13" spans="1:17" ht="37.5" x14ac:dyDescent="0.25">
      <c r="A13" s="102">
        <v>1100</v>
      </c>
      <c r="B13" s="84" t="s">
        <v>68</v>
      </c>
      <c r="C13" s="89">
        <v>803.97</v>
      </c>
      <c r="D13" s="86">
        <v>0.73021798365122614</v>
      </c>
      <c r="E13" s="20">
        <v>7.4147328196265214E-3</v>
      </c>
      <c r="F13" s="281">
        <v>780</v>
      </c>
      <c r="G13" s="282"/>
      <c r="H13" s="283"/>
      <c r="J13" s="58"/>
      <c r="K13" s="17"/>
      <c r="L13" s="7"/>
      <c r="M13" s="108"/>
      <c r="N13" s="20">
        <v>0</v>
      </c>
      <c r="O13" s="59"/>
      <c r="P13" s="59"/>
      <c r="Q13" s="59"/>
    </row>
    <row r="14" spans="1:17" ht="20.25" x14ac:dyDescent="0.25">
      <c r="A14" s="58">
        <v>1100</v>
      </c>
      <c r="B14" s="17" t="s">
        <v>16</v>
      </c>
      <c r="C14" s="7">
        <v>76.52</v>
      </c>
      <c r="D14" s="6">
        <v>6.950045413260672E-2</v>
      </c>
      <c r="E14" s="20">
        <v>7.057170732214155E-4</v>
      </c>
      <c r="F14" s="281">
        <v>1726</v>
      </c>
      <c r="G14" s="282"/>
      <c r="H14" s="283"/>
      <c r="J14" s="58">
        <v>1100</v>
      </c>
      <c r="K14" s="17" t="s">
        <v>16</v>
      </c>
      <c r="L14" s="7">
        <v>76.52</v>
      </c>
      <c r="M14" s="108">
        <v>6.9563636363636355E-2</v>
      </c>
      <c r="N14" s="20">
        <v>7.3074919543281646E-4</v>
      </c>
      <c r="O14" s="282">
        <v>1726</v>
      </c>
      <c r="P14" s="282"/>
      <c r="Q14" s="282"/>
    </row>
    <row r="15" spans="1:17" ht="37.5" x14ac:dyDescent="0.25">
      <c r="A15" s="58">
        <v>1100</v>
      </c>
      <c r="B15" s="17" t="s">
        <v>17</v>
      </c>
      <c r="C15" s="7">
        <v>26.07</v>
      </c>
      <c r="D15" s="6">
        <v>2.3678474114441416E-2</v>
      </c>
      <c r="E15" s="20">
        <v>2.4043444980243467E-4</v>
      </c>
      <c r="F15" s="281">
        <v>1554</v>
      </c>
      <c r="G15" s="282"/>
      <c r="H15" s="283"/>
      <c r="J15" s="58">
        <v>1100</v>
      </c>
      <c r="K15" s="17" t="s">
        <v>17</v>
      </c>
      <c r="L15" s="7">
        <v>26.07</v>
      </c>
      <c r="M15" s="108">
        <v>2.3699999999999999E-2</v>
      </c>
      <c r="N15" s="20">
        <v>2.4896277476389869E-4</v>
      </c>
      <c r="O15" s="282">
        <v>1554</v>
      </c>
      <c r="P15" s="282"/>
      <c r="Q15" s="282"/>
    </row>
    <row r="16" spans="1:17" ht="20.25" x14ac:dyDescent="0.25">
      <c r="A16" s="58">
        <v>1100</v>
      </c>
      <c r="B16" s="17" t="s">
        <v>18</v>
      </c>
      <c r="C16" s="7">
        <v>28.95</v>
      </c>
      <c r="D16" s="6">
        <v>2.6294277929155313E-2</v>
      </c>
      <c r="E16" s="20">
        <v>2.6699567785886015E-4</v>
      </c>
      <c r="F16" s="281">
        <v>1726</v>
      </c>
      <c r="G16" s="282"/>
      <c r="H16" s="283"/>
      <c r="J16" s="58">
        <v>1100</v>
      </c>
      <c r="K16" s="17" t="s">
        <v>18</v>
      </c>
      <c r="L16" s="7">
        <v>28.95</v>
      </c>
      <c r="M16" s="108">
        <v>2.6318181818181817E-2</v>
      </c>
      <c r="N16" s="20">
        <v>2.7646614228672294E-4</v>
      </c>
      <c r="O16" s="282">
        <v>1726</v>
      </c>
      <c r="P16" s="282"/>
      <c r="Q16" s="282"/>
    </row>
    <row r="17" spans="1:19" ht="21.6" customHeight="1" x14ac:dyDescent="0.25">
      <c r="A17" s="102">
        <v>1200</v>
      </c>
      <c r="B17" s="84" t="s">
        <v>19</v>
      </c>
      <c r="C17" s="91">
        <v>8239.8596139999972</v>
      </c>
      <c r="D17" s="86">
        <v>7.4839778510445027</v>
      </c>
      <c r="E17" s="20">
        <v>7.599332998624439E-2</v>
      </c>
      <c r="F17" s="284"/>
      <c r="G17" s="285"/>
      <c r="H17" s="286"/>
      <c r="J17" s="102">
        <v>1200</v>
      </c>
      <c r="K17" s="84" t="s">
        <v>19</v>
      </c>
      <c r="L17" s="91">
        <v>2456.2379800000008</v>
      </c>
      <c r="M17" s="124">
        <v>2.2329436181818187</v>
      </c>
      <c r="N17" s="20">
        <v>2.3456533294256756E-2</v>
      </c>
      <c r="O17" s="285"/>
      <c r="P17" s="285"/>
      <c r="Q17" s="285"/>
      <c r="S17" s="52"/>
    </row>
    <row r="18" spans="1:19" ht="20.25" x14ac:dyDescent="0.25">
      <c r="A18" s="319" t="s">
        <v>20</v>
      </c>
      <c r="B18" s="319"/>
      <c r="C18" s="103">
        <v>43169.319613999993</v>
      </c>
      <c r="D18" s="104">
        <v>39.209191293369656</v>
      </c>
      <c r="E18" s="105">
        <v>0.39813546642644959</v>
      </c>
      <c r="F18" s="311"/>
      <c r="G18" s="288"/>
      <c r="H18" s="289"/>
      <c r="J18" s="319" t="s">
        <v>20</v>
      </c>
      <c r="K18" s="319"/>
      <c r="L18" s="103">
        <v>12868.437980000002</v>
      </c>
      <c r="M18" s="103">
        <v>11.698579981818183</v>
      </c>
      <c r="N18" s="105">
        <v>0.12289075666965631</v>
      </c>
      <c r="O18" s="288"/>
      <c r="P18" s="288"/>
      <c r="Q18" s="288"/>
      <c r="R18" s="52">
        <v>43169.319613999993</v>
      </c>
      <c r="S18" s="52">
        <v>12868.437980000002</v>
      </c>
    </row>
    <row r="19" spans="1:19" ht="20.25" x14ac:dyDescent="0.25">
      <c r="A19" s="279">
        <v>2210</v>
      </c>
      <c r="B19" s="17" t="s">
        <v>21</v>
      </c>
      <c r="C19" s="5">
        <v>60</v>
      </c>
      <c r="D19" s="6">
        <v>5.4495912806539509E-2</v>
      </c>
      <c r="E19" s="20">
        <v>5.5335891784219721E-4</v>
      </c>
      <c r="F19" s="262">
        <v>5</v>
      </c>
      <c r="G19" s="263"/>
      <c r="H19" s="14">
        <v>12</v>
      </c>
      <c r="J19" s="279">
        <v>2210</v>
      </c>
      <c r="K19" s="17" t="s">
        <v>21</v>
      </c>
      <c r="L19" s="5">
        <v>60</v>
      </c>
      <c r="M19" s="108">
        <v>5.4545454545454543E-2</v>
      </c>
      <c r="N19" s="20">
        <v>5.7298682339217187E-4</v>
      </c>
      <c r="O19" s="263">
        <v>5</v>
      </c>
      <c r="P19" s="263"/>
      <c r="Q19" s="109">
        <v>12</v>
      </c>
    </row>
    <row r="20" spans="1:19" ht="20.25" x14ac:dyDescent="0.25">
      <c r="A20" s="279"/>
      <c r="B20" s="15" t="s">
        <v>22</v>
      </c>
      <c r="C20" s="5">
        <v>540</v>
      </c>
      <c r="D20" s="6">
        <v>0.49046321525885561</v>
      </c>
      <c r="E20" s="20">
        <v>4.9802302605797752E-3</v>
      </c>
      <c r="F20" s="60">
        <v>16</v>
      </c>
      <c r="G20" s="16">
        <v>3</v>
      </c>
      <c r="H20" s="14">
        <v>12</v>
      </c>
      <c r="J20" s="279"/>
      <c r="K20" s="15" t="s">
        <v>22</v>
      </c>
      <c r="L20" s="5">
        <v>540</v>
      </c>
      <c r="M20" s="108">
        <v>0.49090909090909091</v>
      </c>
      <c r="N20" s="20">
        <v>5.1568814105295464E-3</v>
      </c>
      <c r="O20" s="110">
        <v>16</v>
      </c>
      <c r="P20" s="16">
        <v>3</v>
      </c>
      <c r="Q20" s="109">
        <v>12</v>
      </c>
    </row>
    <row r="21" spans="1:19" ht="20.25" x14ac:dyDescent="0.25">
      <c r="A21" s="58">
        <v>2222</v>
      </c>
      <c r="B21" s="17" t="s">
        <v>23</v>
      </c>
      <c r="C21" s="5">
        <v>67.98</v>
      </c>
      <c r="D21" s="6">
        <v>6.1743869209809267E-2</v>
      </c>
      <c r="E21" s="20">
        <v>6.2695565391520942E-4</v>
      </c>
      <c r="F21" s="61">
        <v>8</v>
      </c>
      <c r="G21" s="264">
        <v>1.45</v>
      </c>
      <c r="H21" s="265"/>
      <c r="J21" s="58">
        <v>2222</v>
      </c>
      <c r="K21" s="17" t="s">
        <v>23</v>
      </c>
      <c r="L21" s="5">
        <v>67.98</v>
      </c>
      <c r="M21" s="108">
        <v>6.1800000000000001E-2</v>
      </c>
      <c r="N21" s="20">
        <v>6.4919407090333081E-4</v>
      </c>
      <c r="O21" s="111">
        <v>8</v>
      </c>
      <c r="P21" s="264">
        <v>1.45</v>
      </c>
      <c r="Q21" s="264"/>
    </row>
    <row r="22" spans="1:19" ht="38.450000000000003" customHeight="1" x14ac:dyDescent="0.25">
      <c r="A22" s="279">
        <v>2223</v>
      </c>
      <c r="B22" s="225" t="s">
        <v>182</v>
      </c>
      <c r="C22" s="5">
        <v>4179.3819000000003</v>
      </c>
      <c r="D22" s="6">
        <v>3.795987193460491</v>
      </c>
      <c r="E22" s="20">
        <v>3.8544970757221103E-2</v>
      </c>
      <c r="F22" s="87">
        <v>24762</v>
      </c>
      <c r="G22" s="266">
        <v>0.12587000000000001</v>
      </c>
      <c r="H22" s="267"/>
      <c r="J22" s="279">
        <v>2223</v>
      </c>
      <c r="K22" s="225" t="s">
        <v>182</v>
      </c>
      <c r="L22" s="5">
        <v>4179.3819000000003</v>
      </c>
      <c r="M22" s="108">
        <v>3.7994380909090912</v>
      </c>
      <c r="N22" s="20">
        <v>3.9912179310395667E-2</v>
      </c>
      <c r="O22" s="112">
        <v>24762</v>
      </c>
      <c r="P22" s="266">
        <v>0.12587000000000001</v>
      </c>
      <c r="Q22" s="266"/>
    </row>
    <row r="23" spans="1:19" ht="24.6" customHeight="1" x14ac:dyDescent="0.25">
      <c r="A23" s="279"/>
      <c r="B23" s="15" t="s">
        <v>177</v>
      </c>
      <c r="C23" s="5">
        <v>787.19999999999993</v>
      </c>
      <c r="D23" s="6">
        <v>0.71498637602179826</v>
      </c>
      <c r="E23" s="20">
        <v>7.2600690020896263E-3</v>
      </c>
      <c r="F23" s="63">
        <v>12</v>
      </c>
      <c r="G23" s="268">
        <v>65.599999999999994</v>
      </c>
      <c r="H23" s="269"/>
      <c r="J23" s="279"/>
      <c r="K23" s="15" t="s">
        <v>177</v>
      </c>
      <c r="L23" s="5">
        <v>787.19999999999993</v>
      </c>
      <c r="M23" s="108">
        <v>0.71563636363636363</v>
      </c>
      <c r="N23" s="20">
        <v>7.5175871229052945E-3</v>
      </c>
      <c r="O23" s="109">
        <v>12</v>
      </c>
      <c r="P23" s="268">
        <v>65.599999999999994</v>
      </c>
      <c r="Q23" s="268"/>
    </row>
    <row r="24" spans="1:19" ht="37.5" x14ac:dyDescent="0.25">
      <c r="A24" s="102">
        <v>2243</v>
      </c>
      <c r="B24" s="84" t="s">
        <v>142</v>
      </c>
      <c r="C24" s="91">
        <v>2163.33</v>
      </c>
      <c r="D24" s="86">
        <v>1.9648773841961853</v>
      </c>
      <c r="E24" s="20">
        <v>1.9951632462259339E-2</v>
      </c>
      <c r="F24" s="270" t="s">
        <v>27</v>
      </c>
      <c r="G24" s="271"/>
      <c r="H24" s="272"/>
      <c r="J24" s="102">
        <v>2243</v>
      </c>
      <c r="K24" s="84" t="s">
        <v>178</v>
      </c>
      <c r="L24" s="91">
        <v>2201</v>
      </c>
      <c r="M24" s="124">
        <v>2.000909090909091</v>
      </c>
      <c r="N24" s="20">
        <v>2.1019066638102837E-2</v>
      </c>
      <c r="O24" s="271" t="s">
        <v>27</v>
      </c>
      <c r="P24" s="271"/>
      <c r="Q24" s="271"/>
    </row>
    <row r="25" spans="1:19" ht="20.25" x14ac:dyDescent="0.25">
      <c r="A25" s="58">
        <v>2310</v>
      </c>
      <c r="B25" s="17" t="s">
        <v>28</v>
      </c>
      <c r="C25" s="5">
        <v>40</v>
      </c>
      <c r="D25" s="6">
        <v>3.6330608537693009E-2</v>
      </c>
      <c r="E25" s="20">
        <v>3.6890594522813149E-4</v>
      </c>
      <c r="F25" s="270" t="s">
        <v>29</v>
      </c>
      <c r="G25" s="271"/>
      <c r="H25" s="272"/>
      <c r="J25" s="58">
        <v>2310</v>
      </c>
      <c r="K25" s="17" t="s">
        <v>28</v>
      </c>
      <c r="L25" s="5">
        <v>40</v>
      </c>
      <c r="M25" s="108">
        <v>3.6363636363636362E-2</v>
      </c>
      <c r="N25" s="20">
        <v>3.8199121559478121E-4</v>
      </c>
      <c r="O25" s="271" t="s">
        <v>29</v>
      </c>
      <c r="P25" s="271"/>
      <c r="Q25" s="271"/>
    </row>
    <row r="26" spans="1:19" ht="41.25" x14ac:dyDescent="0.25">
      <c r="A26" s="102">
        <v>2321</v>
      </c>
      <c r="B26" s="224" t="s">
        <v>181</v>
      </c>
      <c r="C26" s="91">
        <v>51641.999999999993</v>
      </c>
      <c r="D26" s="86">
        <v>46.904632152588547</v>
      </c>
      <c r="E26" s="20">
        <v>0.47627602058677904</v>
      </c>
      <c r="F26" s="92">
        <v>1200</v>
      </c>
      <c r="G26" s="273">
        <v>45</v>
      </c>
      <c r="H26" s="274"/>
      <c r="J26" s="102">
        <v>2321</v>
      </c>
      <c r="K26" s="84" t="s">
        <v>176</v>
      </c>
      <c r="L26" s="91">
        <v>42262</v>
      </c>
      <c r="M26" s="124">
        <v>38.42</v>
      </c>
      <c r="N26" s="20">
        <v>0.40359281883666615</v>
      </c>
      <c r="O26" s="113">
        <v>1625</v>
      </c>
      <c r="P26" s="313">
        <v>25</v>
      </c>
      <c r="Q26" s="313"/>
    </row>
    <row r="27" spans="1:19" ht="37.5" x14ac:dyDescent="0.25">
      <c r="A27" s="102">
        <v>2322</v>
      </c>
      <c r="B27" s="84" t="s">
        <v>141</v>
      </c>
      <c r="C27" s="91">
        <v>500</v>
      </c>
      <c r="D27" s="86">
        <v>0.45413260672116257</v>
      </c>
      <c r="E27" s="20">
        <v>4.6113243153516432E-3</v>
      </c>
      <c r="F27" s="64" t="s">
        <v>32</v>
      </c>
      <c r="G27" s="18"/>
      <c r="H27" s="19"/>
      <c r="J27" s="102">
        <v>2233</v>
      </c>
      <c r="K27" s="84" t="s">
        <v>86</v>
      </c>
      <c r="L27" s="91">
        <v>2000</v>
      </c>
      <c r="M27" s="124">
        <v>1.8181818181818181</v>
      </c>
      <c r="N27" s="20">
        <v>1.9099560779739063E-2</v>
      </c>
      <c r="O27" s="114"/>
      <c r="P27" s="66"/>
      <c r="Q27" s="66"/>
    </row>
    <row r="28" spans="1:19" ht="37.5" x14ac:dyDescent="0.25">
      <c r="A28" s="102">
        <v>2350</v>
      </c>
      <c r="B28" s="84" t="s">
        <v>67</v>
      </c>
      <c r="C28" s="91">
        <v>250</v>
      </c>
      <c r="D28" s="86">
        <v>0.22706630336058128</v>
      </c>
      <c r="E28" s="20">
        <v>2.3056621576758216E-3</v>
      </c>
      <c r="F28" s="275" t="s">
        <v>34</v>
      </c>
      <c r="G28" s="276"/>
      <c r="H28" s="277"/>
      <c r="J28" s="102">
        <v>2350</v>
      </c>
      <c r="K28" s="84" t="s">
        <v>33</v>
      </c>
      <c r="L28" s="91">
        <v>100</v>
      </c>
      <c r="M28" s="124">
        <v>9.0909090909090912E-2</v>
      </c>
      <c r="N28" s="20">
        <v>9.5497803898695309E-4</v>
      </c>
      <c r="O28" s="276" t="s">
        <v>56</v>
      </c>
      <c r="P28" s="276"/>
      <c r="Q28" s="276"/>
    </row>
    <row r="29" spans="1:19" ht="21.6" customHeight="1" x14ac:dyDescent="0.25">
      <c r="A29" s="58">
        <v>2515</v>
      </c>
      <c r="B29" s="17" t="s">
        <v>35</v>
      </c>
      <c r="C29" s="5">
        <v>627.19000000000005</v>
      </c>
      <c r="D29" s="6">
        <v>0.56965485921889192</v>
      </c>
      <c r="E29" s="20">
        <v>5.7843529946907946E-3</v>
      </c>
      <c r="F29" s="278"/>
      <c r="G29" s="279"/>
      <c r="H29" s="280"/>
      <c r="J29" s="58">
        <v>2515</v>
      </c>
      <c r="K29" s="17" t="s">
        <v>35</v>
      </c>
      <c r="L29" s="5">
        <v>627.19000000000005</v>
      </c>
      <c r="M29" s="108">
        <v>0.57017272727272728</v>
      </c>
      <c r="N29" s="20">
        <v>5.9895267627222719E-3</v>
      </c>
      <c r="O29" s="279"/>
      <c r="P29" s="279"/>
      <c r="Q29" s="279"/>
    </row>
    <row r="30" spans="1:19" ht="22.9" customHeight="1" thickBot="1" x14ac:dyDescent="0.3">
      <c r="A30" s="319" t="s">
        <v>180</v>
      </c>
      <c r="B30" s="319"/>
      <c r="C30" s="106">
        <v>60857.081899999997</v>
      </c>
      <c r="D30" s="104">
        <v>55.274370481380558</v>
      </c>
      <c r="E30" s="105">
        <v>0.56126348305363261</v>
      </c>
      <c r="F30" s="329"/>
      <c r="G30" s="258"/>
      <c r="H30" s="259"/>
      <c r="J30" s="319" t="s">
        <v>180</v>
      </c>
      <c r="K30" s="319"/>
      <c r="L30" s="106">
        <v>52864.751900000003</v>
      </c>
      <c r="M30" s="106">
        <v>48.058865363636372</v>
      </c>
      <c r="N30" s="105">
        <v>0.50484677100993813</v>
      </c>
      <c r="O30" s="279"/>
      <c r="P30" s="279"/>
      <c r="Q30" s="279"/>
      <c r="R30" s="52">
        <v>60857.081899999997</v>
      </c>
      <c r="S30" s="52">
        <v>52864.751900000003</v>
      </c>
    </row>
    <row r="31" spans="1:19" ht="22.9" customHeight="1" thickBot="1" x14ac:dyDescent="0.3">
      <c r="A31" s="318" t="s">
        <v>37</v>
      </c>
      <c r="B31" s="318"/>
      <c r="C31" s="318"/>
      <c r="D31" s="318"/>
      <c r="E31" s="318"/>
      <c r="F31" s="96"/>
      <c r="G31" s="96"/>
      <c r="H31" s="97"/>
      <c r="J31" s="318" t="s">
        <v>37</v>
      </c>
      <c r="K31" s="318"/>
      <c r="L31" s="318"/>
      <c r="M31" s="318"/>
      <c r="N31" s="318"/>
      <c r="O31" s="318"/>
      <c r="P31" s="318"/>
      <c r="Q31" s="318"/>
    </row>
    <row r="32" spans="1:19" ht="42" customHeight="1" x14ac:dyDescent="0.3">
      <c r="A32" s="239" t="s">
        <v>38</v>
      </c>
      <c r="B32" s="239"/>
      <c r="C32" s="5">
        <v>334.92</v>
      </c>
      <c r="D32" s="6">
        <v>0.30419618528610354</v>
      </c>
      <c r="E32" s="20">
        <v>3.088849479395145E-3</v>
      </c>
      <c r="F32" s="23"/>
      <c r="G32" s="24"/>
      <c r="H32" s="25"/>
      <c r="J32" s="239" t="s">
        <v>38</v>
      </c>
      <c r="K32" s="239"/>
      <c r="L32" s="5">
        <v>334.92</v>
      </c>
      <c r="M32" s="108">
        <v>0.30447272727272728</v>
      </c>
      <c r="N32" s="20">
        <v>3.1984124481751037E-3</v>
      </c>
      <c r="O32" s="58"/>
      <c r="P32" s="115"/>
      <c r="Q32" s="115"/>
    </row>
    <row r="33" spans="1:19" ht="40.9" customHeight="1" x14ac:dyDescent="0.3">
      <c r="A33" s="325" t="s">
        <v>183</v>
      </c>
      <c r="B33" s="325"/>
      <c r="C33" s="226">
        <v>3136.8</v>
      </c>
      <c r="D33" s="56">
        <v>2.8490463215258859</v>
      </c>
      <c r="E33" s="20">
        <v>2.892960422479007E-2</v>
      </c>
      <c r="F33" s="27"/>
      <c r="G33" s="28"/>
      <c r="H33" s="29"/>
      <c r="J33" s="325" t="s">
        <v>184</v>
      </c>
      <c r="K33" s="325"/>
      <c r="L33" s="226">
        <v>27876.1</v>
      </c>
      <c r="M33" s="122">
        <v>25.341909090909091</v>
      </c>
      <c r="N33" s="20">
        <v>0.26621063312604204</v>
      </c>
      <c r="O33" s="58"/>
      <c r="P33" s="115"/>
      <c r="Q33" s="115"/>
    </row>
    <row r="34" spans="1:19" ht="39" customHeight="1" x14ac:dyDescent="0.3">
      <c r="A34" s="239" t="s">
        <v>39</v>
      </c>
      <c r="B34" s="239"/>
      <c r="C34" s="5">
        <v>93.24</v>
      </c>
      <c r="D34" s="6">
        <v>8.4686648501362399E-2</v>
      </c>
      <c r="E34" s="20">
        <v>8.5991975832677443E-4</v>
      </c>
      <c r="F34" s="30"/>
      <c r="G34" s="31"/>
      <c r="H34" s="32"/>
      <c r="J34" s="239" t="s">
        <v>39</v>
      </c>
      <c r="K34" s="239"/>
      <c r="L34" s="5">
        <v>93.24</v>
      </c>
      <c r="M34" s="108">
        <v>8.476363636363636E-2</v>
      </c>
      <c r="N34" s="20">
        <v>8.9042152355143503E-4</v>
      </c>
      <c r="O34" s="58"/>
      <c r="P34" s="115"/>
      <c r="Q34" s="115"/>
    </row>
    <row r="35" spans="1:19" ht="39" customHeight="1" x14ac:dyDescent="0.3">
      <c r="A35" s="239" t="s">
        <v>40</v>
      </c>
      <c r="B35" s="239"/>
      <c r="C35" s="5">
        <v>93.24</v>
      </c>
      <c r="D35" s="6">
        <v>8.4686648501362399E-2</v>
      </c>
      <c r="E35" s="20">
        <v>8.5991975832677443E-4</v>
      </c>
      <c r="F35" s="30"/>
      <c r="G35" s="31"/>
      <c r="H35" s="32"/>
      <c r="J35" s="239" t="s">
        <v>40</v>
      </c>
      <c r="K35" s="239"/>
      <c r="L35" s="5">
        <v>93.24</v>
      </c>
      <c r="M35" s="108">
        <v>8.476363636363636E-2</v>
      </c>
      <c r="N35" s="20">
        <v>8.9042152355143503E-4</v>
      </c>
      <c r="O35" s="58"/>
      <c r="P35" s="115"/>
      <c r="Q35" s="115"/>
    </row>
    <row r="36" spans="1:19" ht="39" customHeight="1" x14ac:dyDescent="0.3">
      <c r="A36" s="239" t="s">
        <v>40</v>
      </c>
      <c r="B36" s="239"/>
      <c r="C36" s="5">
        <v>93.24</v>
      </c>
      <c r="D36" s="6">
        <v>8.4686648501362399E-2</v>
      </c>
      <c r="E36" s="20">
        <v>8.5991975832677443E-4</v>
      </c>
      <c r="F36" s="30"/>
      <c r="G36" s="31"/>
      <c r="H36" s="32"/>
      <c r="J36" s="239" t="s">
        <v>40</v>
      </c>
      <c r="K36" s="239"/>
      <c r="L36" s="5">
        <v>93.24</v>
      </c>
      <c r="M36" s="108">
        <v>8.476363636363636E-2</v>
      </c>
      <c r="N36" s="20">
        <v>8.9042152355143503E-4</v>
      </c>
      <c r="O36" s="58"/>
      <c r="P36" s="115"/>
      <c r="Q36" s="115"/>
    </row>
    <row r="37" spans="1:19" ht="39" customHeight="1" x14ac:dyDescent="0.3">
      <c r="A37" s="239" t="s">
        <v>41</v>
      </c>
      <c r="B37" s="239"/>
      <c r="C37" s="5">
        <v>93.24</v>
      </c>
      <c r="D37" s="6">
        <v>8.4686648501362399E-2</v>
      </c>
      <c r="E37" s="20">
        <v>8.5991975832677443E-4</v>
      </c>
      <c r="F37" s="30"/>
      <c r="G37" s="31"/>
      <c r="H37" s="32"/>
      <c r="J37" s="239" t="s">
        <v>41</v>
      </c>
      <c r="K37" s="239"/>
      <c r="L37" s="5">
        <v>93.24</v>
      </c>
      <c r="M37" s="108">
        <v>8.476363636363636E-2</v>
      </c>
      <c r="N37" s="20">
        <v>8.9042152355143503E-4</v>
      </c>
      <c r="O37" s="58"/>
      <c r="P37" s="115"/>
      <c r="Q37" s="115"/>
    </row>
    <row r="38" spans="1:19" ht="39" customHeight="1" x14ac:dyDescent="0.3">
      <c r="A38" s="239" t="s">
        <v>42</v>
      </c>
      <c r="B38" s="239"/>
      <c r="C38" s="5">
        <v>35.64</v>
      </c>
      <c r="D38" s="6">
        <v>3.2370572207084468E-2</v>
      </c>
      <c r="E38" s="20">
        <v>3.2869519719826515E-4</v>
      </c>
      <c r="F38" s="30"/>
      <c r="G38" s="31"/>
      <c r="H38" s="32"/>
      <c r="J38" s="239" t="s">
        <v>42</v>
      </c>
      <c r="K38" s="239"/>
      <c r="L38" s="5">
        <v>35.64</v>
      </c>
      <c r="M38" s="108">
        <v>3.2399999999999998E-2</v>
      </c>
      <c r="N38" s="20">
        <v>3.4035417309495006E-4</v>
      </c>
      <c r="O38" s="58"/>
      <c r="P38" s="115"/>
      <c r="Q38" s="115"/>
    </row>
    <row r="39" spans="1:19" ht="39" customHeight="1" x14ac:dyDescent="0.3">
      <c r="A39" s="239" t="s">
        <v>45</v>
      </c>
      <c r="B39" s="239"/>
      <c r="C39" s="5">
        <v>91.68</v>
      </c>
      <c r="D39" s="6">
        <v>8.3269754768392379E-2</v>
      </c>
      <c r="E39" s="20">
        <v>8.4553242646287735E-4</v>
      </c>
      <c r="F39" s="30"/>
      <c r="G39" s="31"/>
      <c r="H39" s="32"/>
      <c r="J39" s="239" t="s">
        <v>45</v>
      </c>
      <c r="K39" s="239"/>
      <c r="L39" s="5">
        <v>91.68</v>
      </c>
      <c r="M39" s="108">
        <v>8.3345454545454556E-2</v>
      </c>
      <c r="N39" s="20">
        <v>8.7552386614323863E-4</v>
      </c>
      <c r="O39" s="58"/>
      <c r="P39" s="115"/>
      <c r="Q39" s="115"/>
    </row>
    <row r="40" spans="1:19" ht="39" customHeight="1" x14ac:dyDescent="0.3">
      <c r="A40" s="239" t="s">
        <v>46</v>
      </c>
      <c r="B40" s="239"/>
      <c r="C40" s="5">
        <v>81.599999999999994</v>
      </c>
      <c r="D40" s="6">
        <v>7.4114441416893731E-2</v>
      </c>
      <c r="E40" s="20">
        <v>7.5256812826538812E-4</v>
      </c>
      <c r="F40" s="30"/>
      <c r="G40" s="31"/>
      <c r="H40" s="32"/>
      <c r="J40" s="239" t="s">
        <v>46</v>
      </c>
      <c r="K40" s="239"/>
      <c r="L40" s="5">
        <v>81.599999999999994</v>
      </c>
      <c r="M40" s="108">
        <v>7.4181818181818182E-2</v>
      </c>
      <c r="N40" s="20">
        <v>7.792620798133537E-4</v>
      </c>
      <c r="O40" s="58"/>
      <c r="P40" s="115"/>
      <c r="Q40" s="115"/>
    </row>
    <row r="41" spans="1:19" ht="39" customHeight="1" x14ac:dyDescent="0.3">
      <c r="A41" s="239" t="s">
        <v>47</v>
      </c>
      <c r="B41" s="239"/>
      <c r="C41" s="5">
        <v>271.68</v>
      </c>
      <c r="D41" s="6">
        <v>0.24675749318801091</v>
      </c>
      <c r="E41" s="20">
        <v>2.5056091799894689E-3</v>
      </c>
      <c r="F41" s="30"/>
      <c r="G41" s="31"/>
      <c r="H41" s="32"/>
      <c r="J41" s="239" t="s">
        <v>47</v>
      </c>
      <c r="K41" s="239"/>
      <c r="L41" s="5">
        <v>271.68</v>
      </c>
      <c r="M41" s="108">
        <v>0.24698181818181819</v>
      </c>
      <c r="N41" s="20">
        <v>2.5944843363197544E-3</v>
      </c>
      <c r="O41" s="58"/>
      <c r="P41" s="115"/>
      <c r="Q41" s="115"/>
    </row>
    <row r="42" spans="1:19" ht="39" customHeight="1" x14ac:dyDescent="0.3">
      <c r="A42" s="340" t="s">
        <v>48</v>
      </c>
      <c r="B42" s="340"/>
      <c r="C42" s="91">
        <v>77.040000000000006</v>
      </c>
      <c r="D42" s="86">
        <v>6.9972752043596737E-2</v>
      </c>
      <c r="E42" s="20">
        <v>7.105128505093813E-4</v>
      </c>
      <c r="F42" s="30"/>
      <c r="G42" s="31"/>
      <c r="H42" s="32"/>
      <c r="J42" s="239"/>
      <c r="K42" s="239"/>
      <c r="L42" s="123"/>
      <c r="M42" s="123"/>
      <c r="N42" s="20"/>
      <c r="O42" s="58"/>
      <c r="P42" s="115"/>
      <c r="Q42" s="115"/>
    </row>
    <row r="43" spans="1:19" ht="58.9" customHeight="1" x14ac:dyDescent="0.3">
      <c r="A43" s="342" t="s">
        <v>187</v>
      </c>
      <c r="B43" s="342"/>
      <c r="C43" s="141"/>
      <c r="D43" s="142">
        <v>0</v>
      </c>
      <c r="E43" s="20">
        <v>0</v>
      </c>
      <c r="F43" s="30"/>
      <c r="G43" s="31"/>
      <c r="H43" s="32"/>
      <c r="J43" s="341" t="s">
        <v>186</v>
      </c>
      <c r="K43" s="341"/>
      <c r="L43" s="227">
        <v>9916.68</v>
      </c>
      <c r="M43" s="122">
        <v>9.0151636363636367</v>
      </c>
      <c r="N43" s="20">
        <v>9.4702116196611383E-2</v>
      </c>
      <c r="O43" s="58"/>
      <c r="P43" s="115"/>
      <c r="Q43" s="115"/>
      <c r="R43" s="52">
        <v>4402.3199999999988</v>
      </c>
      <c r="S43" s="52">
        <v>38981.26</v>
      </c>
    </row>
    <row r="44" spans="1:19" ht="23.45" customHeight="1" x14ac:dyDescent="0.3">
      <c r="A44" s="319" t="s">
        <v>50</v>
      </c>
      <c r="B44" s="319"/>
      <c r="C44" s="106">
        <v>4402.3199999999988</v>
      </c>
      <c r="D44" s="104">
        <v>3.9984741144414158</v>
      </c>
      <c r="E44" s="105">
        <v>4.0601050519917699E-2</v>
      </c>
      <c r="F44" s="30"/>
      <c r="G44" s="33"/>
      <c r="H44" s="34"/>
      <c r="J44" s="319" t="s">
        <v>50</v>
      </c>
      <c r="K44" s="319"/>
      <c r="L44" s="106">
        <v>38981.26</v>
      </c>
      <c r="M44" s="106">
        <v>35.437509090909089</v>
      </c>
      <c r="N44" s="105">
        <v>0.37226247232040571</v>
      </c>
      <c r="O44" s="58"/>
      <c r="P44" s="117"/>
      <c r="Q44" s="117"/>
    </row>
    <row r="45" spans="1:19" ht="24" thickBot="1" x14ac:dyDescent="0.4">
      <c r="A45" s="320" t="s">
        <v>51</v>
      </c>
      <c r="B45" s="320"/>
      <c r="C45" s="321">
        <v>108428.72151399999</v>
      </c>
      <c r="D45" s="322">
        <v>98.571565012727262</v>
      </c>
      <c r="E45" s="323">
        <v>0.99999999999999989</v>
      </c>
      <c r="F45" s="99"/>
      <c r="G45" s="36"/>
      <c r="H45" s="37"/>
      <c r="J45" s="320" t="s">
        <v>51</v>
      </c>
      <c r="K45" s="320"/>
      <c r="L45" s="321">
        <v>104714.44988000001</v>
      </c>
      <c r="M45" s="322">
        <v>95.194954436363645</v>
      </c>
      <c r="N45" s="323">
        <v>1</v>
      </c>
      <c r="O45" s="118"/>
      <c r="P45" s="119"/>
      <c r="Q45" s="119"/>
      <c r="R45" s="125">
        <v>108428.72151399999</v>
      </c>
      <c r="S45" s="125">
        <v>104714.44988</v>
      </c>
    </row>
    <row r="46" spans="1:19" ht="68.45" customHeight="1" thickBot="1" x14ac:dyDescent="0.3">
      <c r="A46" s="324" t="s">
        <v>60</v>
      </c>
      <c r="B46" s="324"/>
      <c r="C46" s="321"/>
      <c r="D46" s="322"/>
      <c r="E46" s="323"/>
      <c r="F46" s="100">
        <v>1100</v>
      </c>
      <c r="G46" s="71">
        <v>1101</v>
      </c>
      <c r="H46" s="39"/>
      <c r="J46" s="324" t="s">
        <v>60</v>
      </c>
      <c r="K46" s="324"/>
      <c r="L46" s="321"/>
      <c r="M46" s="322"/>
      <c r="N46" s="323"/>
      <c r="O46" s="120">
        <v>1100</v>
      </c>
      <c r="P46" s="121">
        <v>1100</v>
      </c>
      <c r="Q46" s="120"/>
    </row>
    <row r="48" spans="1:19" hidden="1" x14ac:dyDescent="0.25">
      <c r="B48">
        <v>1100</v>
      </c>
      <c r="D48" s="52">
        <v>98.571565012727262</v>
      </c>
      <c r="K48">
        <v>1100</v>
      </c>
      <c r="M48" s="125">
        <v>95.194954436363645</v>
      </c>
    </row>
    <row r="49" spans="4:10" s="130" customFormat="1" ht="23.25" x14ac:dyDescent="0.35">
      <c r="J49" s="168"/>
    </row>
    <row r="53" spans="4:10" x14ac:dyDescent="0.25">
      <c r="D53" s="125"/>
    </row>
  </sheetData>
  <mergeCells count="101">
    <mergeCell ref="A4:H4"/>
    <mergeCell ref="J4:Q4"/>
    <mergeCell ref="B5:D5"/>
    <mergeCell ref="K5:M5"/>
    <mergeCell ref="A6:H6"/>
    <mergeCell ref="J6:Q6"/>
    <mergeCell ref="A1:H1"/>
    <mergeCell ref="J1:Q1"/>
    <mergeCell ref="A2:H2"/>
    <mergeCell ref="J2:Q2"/>
    <mergeCell ref="A3:H3"/>
    <mergeCell ref="J3:Q3"/>
    <mergeCell ref="F10:H10"/>
    <mergeCell ref="O10:Q10"/>
    <mergeCell ref="F11:H11"/>
    <mergeCell ref="O11:Q11"/>
    <mergeCell ref="F12:H12"/>
    <mergeCell ref="O12:Q12"/>
    <mergeCell ref="F7:H7"/>
    <mergeCell ref="O7:Q7"/>
    <mergeCell ref="A8:E8"/>
    <mergeCell ref="J8:Q8"/>
    <mergeCell ref="F9:H9"/>
    <mergeCell ref="O9:Q9"/>
    <mergeCell ref="F17:H17"/>
    <mergeCell ref="O17:Q17"/>
    <mergeCell ref="A18:B18"/>
    <mergeCell ref="F18:H18"/>
    <mergeCell ref="J18:K18"/>
    <mergeCell ref="O18:Q18"/>
    <mergeCell ref="F13:H13"/>
    <mergeCell ref="F14:H14"/>
    <mergeCell ref="O14:Q14"/>
    <mergeCell ref="F15:H15"/>
    <mergeCell ref="O15:Q15"/>
    <mergeCell ref="F16:H16"/>
    <mergeCell ref="O16:Q16"/>
    <mergeCell ref="A22:A23"/>
    <mergeCell ref="G22:H22"/>
    <mergeCell ref="J22:J23"/>
    <mergeCell ref="P22:Q22"/>
    <mergeCell ref="G23:H23"/>
    <mergeCell ref="P23:Q23"/>
    <mergeCell ref="A19:A20"/>
    <mergeCell ref="F19:G19"/>
    <mergeCell ref="J19:J20"/>
    <mergeCell ref="O19:P19"/>
    <mergeCell ref="G21:H21"/>
    <mergeCell ref="P21:Q21"/>
    <mergeCell ref="F28:H28"/>
    <mergeCell ref="O28:Q28"/>
    <mergeCell ref="F29:H29"/>
    <mergeCell ref="O29:Q29"/>
    <mergeCell ref="A30:B30"/>
    <mergeCell ref="F30:H30"/>
    <mergeCell ref="J30:K30"/>
    <mergeCell ref="O30:Q30"/>
    <mergeCell ref="F24:H24"/>
    <mergeCell ref="O24:Q24"/>
    <mergeCell ref="F25:H25"/>
    <mergeCell ref="O25:Q25"/>
    <mergeCell ref="G26:H26"/>
    <mergeCell ref="P26:Q26"/>
    <mergeCell ref="A34:B34"/>
    <mergeCell ref="J34:K34"/>
    <mergeCell ref="A35:B35"/>
    <mergeCell ref="J35:K35"/>
    <mergeCell ref="A36:B36"/>
    <mergeCell ref="J36:K36"/>
    <mergeCell ref="A31:E31"/>
    <mergeCell ref="J31:Q31"/>
    <mergeCell ref="A32:B32"/>
    <mergeCell ref="J32:K32"/>
    <mergeCell ref="A33:B33"/>
    <mergeCell ref="J33:K33"/>
    <mergeCell ref="A40:B40"/>
    <mergeCell ref="J40:K40"/>
    <mergeCell ref="A41:B41"/>
    <mergeCell ref="J41:K41"/>
    <mergeCell ref="A42:B42"/>
    <mergeCell ref="J42:K42"/>
    <mergeCell ref="A37:B37"/>
    <mergeCell ref="J37:K37"/>
    <mergeCell ref="A38:B38"/>
    <mergeCell ref="J38:K38"/>
    <mergeCell ref="A39:B39"/>
    <mergeCell ref="J39:K39"/>
    <mergeCell ref="L45:L46"/>
    <mergeCell ref="M45:M46"/>
    <mergeCell ref="N45:N46"/>
    <mergeCell ref="A46:B46"/>
    <mergeCell ref="J46:K46"/>
    <mergeCell ref="A43:B43"/>
    <mergeCell ref="J43:K43"/>
    <mergeCell ref="A44:B44"/>
    <mergeCell ref="J44:K44"/>
    <mergeCell ref="A45:B45"/>
    <mergeCell ref="C45:C46"/>
    <mergeCell ref="D45:D46"/>
    <mergeCell ref="E45:E46"/>
    <mergeCell ref="J45:K45"/>
  </mergeCells>
  <pageMargins left="0.7" right="0.7" top="0.75" bottom="0.75" header="0.3" footer="0.3"/>
  <pageSetup paperSize="8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E64F-F0C8-429A-9256-64190F493399}">
  <sheetPr>
    <pageSetUpPr fitToPage="1"/>
  </sheetPr>
  <dimension ref="A1:S48"/>
  <sheetViews>
    <sheetView topLeftCell="A10" zoomScale="58" zoomScaleNormal="58" workbookViewId="0">
      <selection activeCell="C41" sqref="C41"/>
    </sheetView>
  </sheetViews>
  <sheetFormatPr defaultRowHeight="15" x14ac:dyDescent="0.25"/>
  <cols>
    <col min="1" max="1" width="19.28515625" customWidth="1"/>
    <col min="2" max="2" width="73.28515625" customWidth="1"/>
    <col min="3" max="3" width="27.140625" customWidth="1"/>
    <col min="4" max="4" width="30.85546875" customWidth="1"/>
    <col min="5" max="5" width="18.28515625" customWidth="1"/>
    <col min="6" max="6" width="65.42578125" hidden="1" customWidth="1"/>
    <col min="7" max="7" width="49.7109375" hidden="1" customWidth="1"/>
    <col min="8" max="8" width="14.85546875" hidden="1" customWidth="1"/>
    <col min="9" max="9" width="62.5703125" customWidth="1"/>
    <col min="10" max="10" width="22.42578125" customWidth="1"/>
    <col min="11" max="11" width="73.28515625" customWidth="1"/>
    <col min="12" max="12" width="36.28515625" customWidth="1"/>
    <col min="13" max="13" width="26.28515625" customWidth="1"/>
    <col min="14" max="14" width="18.7109375" customWidth="1"/>
    <col min="15" max="15" width="72.42578125" hidden="1" customWidth="1"/>
    <col min="16" max="16" width="49.7109375" hidden="1" customWidth="1"/>
    <col min="17" max="17" width="9.85546875" hidden="1" customWidth="1"/>
    <col min="18" max="19" width="12.28515625" hidden="1" customWidth="1"/>
  </cols>
  <sheetData>
    <row r="1" spans="1:17" ht="33" x14ac:dyDescent="0.45">
      <c r="A1" s="290" t="s">
        <v>160</v>
      </c>
      <c r="B1" s="290"/>
      <c r="C1" s="290"/>
      <c r="D1" s="290"/>
      <c r="E1" s="290"/>
      <c r="F1" s="290"/>
      <c r="G1" s="290"/>
      <c r="H1" s="290"/>
      <c r="J1" s="290" t="s">
        <v>160</v>
      </c>
      <c r="K1" s="290"/>
      <c r="L1" s="290"/>
      <c r="M1" s="290"/>
      <c r="N1" s="290"/>
      <c r="O1" s="290"/>
      <c r="P1" s="290"/>
      <c r="Q1" s="290"/>
    </row>
    <row r="2" spans="1:17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  <c r="J2" s="291" t="s">
        <v>1</v>
      </c>
      <c r="K2" s="291"/>
      <c r="L2" s="291"/>
      <c r="M2" s="291"/>
      <c r="N2" s="291"/>
      <c r="O2" s="291"/>
      <c r="P2" s="291"/>
      <c r="Q2" s="291"/>
    </row>
    <row r="3" spans="1:17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  <c r="J3" s="291" t="s">
        <v>2</v>
      </c>
      <c r="K3" s="291"/>
      <c r="L3" s="291"/>
      <c r="M3" s="291"/>
      <c r="N3" s="291"/>
      <c r="O3" s="291"/>
      <c r="P3" s="291"/>
      <c r="Q3" s="291"/>
    </row>
    <row r="4" spans="1:17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  <c r="J4" s="291" t="s">
        <v>3</v>
      </c>
      <c r="K4" s="291"/>
      <c r="L4" s="291"/>
      <c r="M4" s="291"/>
      <c r="N4" s="291"/>
      <c r="O4" s="291"/>
      <c r="P4" s="291"/>
      <c r="Q4" s="291"/>
    </row>
    <row r="5" spans="1:17" s="164" customFormat="1" ht="28.5" x14ac:dyDescent="0.45">
      <c r="A5" s="163"/>
      <c r="B5" s="339" t="s">
        <v>139</v>
      </c>
      <c r="C5" s="339"/>
      <c r="D5" s="339"/>
      <c r="E5" s="163"/>
      <c r="F5" s="163"/>
      <c r="G5" s="163"/>
      <c r="H5" s="163"/>
      <c r="J5" s="163"/>
      <c r="K5" s="339" t="s">
        <v>140</v>
      </c>
      <c r="L5" s="339"/>
      <c r="M5" s="339"/>
      <c r="N5" s="163"/>
      <c r="O5" s="163"/>
      <c r="P5" s="163"/>
      <c r="Q5" s="163"/>
    </row>
    <row r="6" spans="1:17" ht="16.5" thickBot="1" x14ac:dyDescent="0.3">
      <c r="A6" s="326"/>
      <c r="B6" s="326"/>
      <c r="C6" s="326"/>
      <c r="D6" s="326"/>
      <c r="E6" s="326"/>
      <c r="F6" s="292"/>
      <c r="G6" s="292"/>
      <c r="H6" s="292"/>
      <c r="J6" s="326"/>
      <c r="K6" s="326"/>
      <c r="L6" s="326"/>
      <c r="M6" s="326"/>
      <c r="N6" s="326"/>
      <c r="O6" s="326"/>
      <c r="P6" s="326"/>
      <c r="Q6" s="326"/>
    </row>
    <row r="7" spans="1:17" s="51" customFormat="1" ht="122.25" thickBot="1" x14ac:dyDescent="0.4">
      <c r="A7" s="101" t="s">
        <v>4</v>
      </c>
      <c r="B7" s="101" t="s">
        <v>5</v>
      </c>
      <c r="C7" s="101" t="s">
        <v>6</v>
      </c>
      <c r="D7" s="101" t="s">
        <v>7</v>
      </c>
      <c r="E7" s="101" t="s">
        <v>8</v>
      </c>
      <c r="F7" s="294" t="s">
        <v>9</v>
      </c>
      <c r="G7" s="294"/>
      <c r="H7" s="295"/>
      <c r="J7" s="101" t="s">
        <v>4</v>
      </c>
      <c r="K7" s="101" t="s">
        <v>5</v>
      </c>
      <c r="L7" s="101" t="s">
        <v>6</v>
      </c>
      <c r="M7" s="101" t="s">
        <v>7</v>
      </c>
      <c r="N7" s="101" t="s">
        <v>8</v>
      </c>
      <c r="O7" s="327" t="s">
        <v>9</v>
      </c>
      <c r="P7" s="327"/>
      <c r="Q7" s="327"/>
    </row>
    <row r="8" spans="1:17" s="93" customFormat="1" ht="22.9" customHeight="1" thickBot="1" x14ac:dyDescent="0.3">
      <c r="A8" s="328" t="s">
        <v>10</v>
      </c>
      <c r="B8" s="328"/>
      <c r="C8" s="328"/>
      <c r="D8" s="328"/>
      <c r="E8" s="328"/>
      <c r="F8" s="98"/>
      <c r="G8" s="94"/>
      <c r="H8" s="95"/>
      <c r="J8" s="328" t="s">
        <v>10</v>
      </c>
      <c r="K8" s="328"/>
      <c r="L8" s="328"/>
      <c r="M8" s="328"/>
      <c r="N8" s="328"/>
      <c r="O8" s="328"/>
      <c r="P8" s="328"/>
      <c r="Q8" s="328"/>
    </row>
    <row r="9" spans="1:17" ht="20.25" x14ac:dyDescent="0.25">
      <c r="A9" s="58">
        <v>1100</v>
      </c>
      <c r="B9" s="17" t="s">
        <v>11</v>
      </c>
      <c r="C9" s="5">
        <v>749.62</v>
      </c>
      <c r="D9" s="6">
        <v>0.68085376930063579</v>
      </c>
      <c r="E9" s="20">
        <v>6.679338884906209E-3</v>
      </c>
      <c r="F9" s="299">
        <v>1013</v>
      </c>
      <c r="G9" s="300"/>
      <c r="H9" s="301"/>
      <c r="J9" s="58">
        <v>1100</v>
      </c>
      <c r="K9" s="17" t="s">
        <v>11</v>
      </c>
      <c r="L9" s="5">
        <v>749.62</v>
      </c>
      <c r="M9" s="108">
        <v>0.68147272727272723</v>
      </c>
      <c r="N9" s="20">
        <v>7.1077217486692533E-3</v>
      </c>
      <c r="O9" s="282">
        <v>1013</v>
      </c>
      <c r="P9" s="282"/>
      <c r="Q9" s="282"/>
    </row>
    <row r="10" spans="1:17" ht="20.25" x14ac:dyDescent="0.25">
      <c r="A10" s="58">
        <v>1100</v>
      </c>
      <c r="B10" s="17" t="s">
        <v>12</v>
      </c>
      <c r="C10" s="5">
        <v>749.62</v>
      </c>
      <c r="D10" s="6">
        <v>0.68085376930063579</v>
      </c>
      <c r="E10" s="20">
        <v>6.679338884906209E-3</v>
      </c>
      <c r="F10" s="281">
        <v>1013</v>
      </c>
      <c r="G10" s="282"/>
      <c r="H10" s="283"/>
      <c r="J10" s="58">
        <v>1100</v>
      </c>
      <c r="K10" s="17" t="s">
        <v>12</v>
      </c>
      <c r="L10" s="5">
        <v>749.62</v>
      </c>
      <c r="M10" s="108">
        <v>0.68147272727272723</v>
      </c>
      <c r="N10" s="20">
        <v>7.1077217486692533E-3</v>
      </c>
      <c r="O10" s="282">
        <v>1013</v>
      </c>
      <c r="P10" s="282"/>
      <c r="Q10" s="282"/>
    </row>
    <row r="11" spans="1:17" ht="37.5" x14ac:dyDescent="0.25">
      <c r="A11" s="102">
        <v>1100</v>
      </c>
      <c r="B11" s="84" t="s">
        <v>102</v>
      </c>
      <c r="C11" s="85">
        <v>33888.79</v>
      </c>
      <c r="D11" s="86">
        <v>30.780009082652136</v>
      </c>
      <c r="E11" s="20">
        <v>0.30195927644596021</v>
      </c>
      <c r="F11" s="302">
        <v>700</v>
      </c>
      <c r="G11" s="303"/>
      <c r="H11" s="304"/>
      <c r="J11" s="102">
        <v>1100</v>
      </c>
      <c r="K11" s="84" t="s">
        <v>103</v>
      </c>
      <c r="L11" s="91">
        <v>7775.98</v>
      </c>
      <c r="M11" s="124">
        <v>7.0690727272727267</v>
      </c>
      <c r="N11" s="20">
        <v>7.3730026097512252E-2</v>
      </c>
      <c r="O11" s="309">
        <v>700</v>
      </c>
      <c r="P11" s="309"/>
      <c r="Q11" s="309"/>
    </row>
    <row r="12" spans="1:17" ht="37.5" x14ac:dyDescent="0.25">
      <c r="A12" s="58">
        <v>1100</v>
      </c>
      <c r="B12" s="17" t="s">
        <v>14</v>
      </c>
      <c r="C12" s="7">
        <v>1613.2</v>
      </c>
      <c r="D12" s="6">
        <v>1.465213442325159</v>
      </c>
      <c r="E12" s="20">
        <v>1.4374095527241398E-2</v>
      </c>
      <c r="F12" s="281">
        <v>1090</v>
      </c>
      <c r="G12" s="282"/>
      <c r="H12" s="283"/>
      <c r="J12" s="58">
        <v>1100</v>
      </c>
      <c r="K12" s="17" t="s">
        <v>14</v>
      </c>
      <c r="L12" s="7">
        <v>1613.2</v>
      </c>
      <c r="M12" s="108">
        <v>1.4665454545454546</v>
      </c>
      <c r="N12" s="20">
        <v>1.5295985599307969E-2</v>
      </c>
      <c r="O12" s="282">
        <v>1090</v>
      </c>
      <c r="P12" s="282"/>
      <c r="Q12" s="282"/>
    </row>
    <row r="13" spans="1:17" ht="37.5" x14ac:dyDescent="0.25">
      <c r="A13" s="102">
        <v>1100</v>
      </c>
      <c r="B13" s="84" t="s">
        <v>68</v>
      </c>
      <c r="C13" s="89">
        <v>872.14</v>
      </c>
      <c r="D13" s="86">
        <v>0.79213442325158945</v>
      </c>
      <c r="E13" s="20">
        <v>7.7710288080388738E-3</v>
      </c>
      <c r="F13" s="281">
        <v>780</v>
      </c>
      <c r="G13" s="282"/>
      <c r="H13" s="283"/>
      <c r="J13" s="58"/>
      <c r="K13" s="17"/>
      <c r="L13" s="7"/>
      <c r="M13" s="108"/>
      <c r="N13" s="20">
        <v>0</v>
      </c>
      <c r="O13" s="59"/>
      <c r="P13" s="59"/>
      <c r="Q13" s="59"/>
    </row>
    <row r="14" spans="1:17" ht="20.25" x14ac:dyDescent="0.25">
      <c r="A14" s="58">
        <v>1100</v>
      </c>
      <c r="B14" s="17" t="s">
        <v>16</v>
      </c>
      <c r="C14" s="7">
        <v>76.52</v>
      </c>
      <c r="D14" s="6">
        <v>6.950045413260672E-2</v>
      </c>
      <c r="E14" s="20">
        <v>6.8181613547267021E-4</v>
      </c>
      <c r="F14" s="281">
        <v>1726</v>
      </c>
      <c r="G14" s="282"/>
      <c r="H14" s="283"/>
      <c r="J14" s="58">
        <v>1100</v>
      </c>
      <c r="K14" s="17" t="s">
        <v>16</v>
      </c>
      <c r="L14" s="7">
        <v>76.52</v>
      </c>
      <c r="M14" s="108">
        <v>6.9563636363636355E-2</v>
      </c>
      <c r="N14" s="20">
        <v>7.2554476695948773E-4</v>
      </c>
      <c r="O14" s="282">
        <v>1726</v>
      </c>
      <c r="P14" s="282"/>
      <c r="Q14" s="282"/>
    </row>
    <row r="15" spans="1:17" ht="37.5" x14ac:dyDescent="0.25">
      <c r="A15" s="58">
        <v>1100</v>
      </c>
      <c r="B15" s="17" t="s">
        <v>17</v>
      </c>
      <c r="C15" s="7">
        <v>26.07</v>
      </c>
      <c r="D15" s="6">
        <v>2.3678474114441416E-2</v>
      </c>
      <c r="E15" s="20">
        <v>2.322915140064364E-4</v>
      </c>
      <c r="F15" s="281">
        <v>1554</v>
      </c>
      <c r="G15" s="282"/>
      <c r="H15" s="283"/>
      <c r="J15" s="58">
        <v>1100</v>
      </c>
      <c r="K15" s="17" t="s">
        <v>17</v>
      </c>
      <c r="L15" s="7">
        <v>26.07</v>
      </c>
      <c r="M15" s="108">
        <v>2.3699999999999999E-2</v>
      </c>
      <c r="N15" s="20">
        <v>2.4718965074011824E-4</v>
      </c>
      <c r="O15" s="282">
        <v>1554</v>
      </c>
      <c r="P15" s="282"/>
      <c r="Q15" s="282"/>
    </row>
    <row r="16" spans="1:17" ht="20.25" x14ac:dyDescent="0.25">
      <c r="A16" s="58">
        <v>1100</v>
      </c>
      <c r="B16" s="17" t="s">
        <v>18</v>
      </c>
      <c r="C16" s="7">
        <v>28.95</v>
      </c>
      <c r="D16" s="6">
        <v>2.6294277929155313E-2</v>
      </c>
      <c r="E16" s="20">
        <v>2.5795317723384479E-4</v>
      </c>
      <c r="F16" s="281">
        <v>1726</v>
      </c>
      <c r="G16" s="282"/>
      <c r="H16" s="283"/>
      <c r="J16" s="58">
        <v>1100</v>
      </c>
      <c r="K16" s="17" t="s">
        <v>18</v>
      </c>
      <c r="L16" s="7">
        <v>28.95</v>
      </c>
      <c r="M16" s="108">
        <v>2.6318181818181817E-2</v>
      </c>
      <c r="N16" s="20">
        <v>2.7449713804857779E-4</v>
      </c>
      <c r="O16" s="282">
        <v>1726</v>
      </c>
      <c r="P16" s="282"/>
      <c r="Q16" s="282"/>
    </row>
    <row r="17" spans="1:19" ht="21.6" customHeight="1" x14ac:dyDescent="0.25">
      <c r="A17" s="102">
        <v>1200</v>
      </c>
      <c r="B17" s="84" t="s">
        <v>19</v>
      </c>
      <c r="C17" s="91">
        <v>8965.3582689999967</v>
      </c>
      <c r="D17" s="86">
        <v>8.1429230417801968</v>
      </c>
      <c r="E17" s="20">
        <v>7.9884029379214933E-2</v>
      </c>
      <c r="F17" s="284"/>
      <c r="G17" s="285"/>
      <c r="H17" s="286"/>
      <c r="J17" s="102">
        <v>1200</v>
      </c>
      <c r="K17" s="84" t="s">
        <v>19</v>
      </c>
      <c r="L17" s="91">
        <v>2599.6085640000001</v>
      </c>
      <c r="M17" s="124">
        <v>2.3632805127272727</v>
      </c>
      <c r="N17" s="20">
        <v>2.4648881204303044E-2</v>
      </c>
      <c r="O17" s="285"/>
      <c r="P17" s="285"/>
      <c r="Q17" s="285"/>
      <c r="S17" s="52"/>
    </row>
    <row r="18" spans="1:19" ht="20.25" x14ac:dyDescent="0.25">
      <c r="A18" s="319" t="s">
        <v>179</v>
      </c>
      <c r="B18" s="319"/>
      <c r="C18" s="103">
        <v>46970.268268999986</v>
      </c>
      <c r="D18" s="104">
        <v>42.661460734786559</v>
      </c>
      <c r="E18" s="105">
        <v>0.41851916875698081</v>
      </c>
      <c r="F18" s="311"/>
      <c r="G18" s="288"/>
      <c r="H18" s="289"/>
      <c r="J18" s="319" t="s">
        <v>179</v>
      </c>
      <c r="K18" s="319"/>
      <c r="L18" s="103">
        <v>13619.568564000001</v>
      </c>
      <c r="M18" s="103">
        <v>12.381425967272726</v>
      </c>
      <c r="N18" s="105">
        <v>0.12913756795420994</v>
      </c>
      <c r="O18" s="288"/>
      <c r="P18" s="288"/>
      <c r="Q18" s="288"/>
      <c r="R18" s="52">
        <v>46970.268268999986</v>
      </c>
      <c r="S18" s="52">
        <v>13619.568564000001</v>
      </c>
    </row>
    <row r="19" spans="1:19" ht="20.25" x14ac:dyDescent="0.25">
      <c r="A19" s="279">
        <v>2210</v>
      </c>
      <c r="B19" s="17" t="s">
        <v>21</v>
      </c>
      <c r="C19" s="5">
        <v>60</v>
      </c>
      <c r="D19" s="6">
        <v>5.4495912806539509E-2</v>
      </c>
      <c r="E19" s="20">
        <v>5.3461798390434161E-4</v>
      </c>
      <c r="F19" s="262">
        <v>5</v>
      </c>
      <c r="G19" s="263"/>
      <c r="H19" s="14">
        <v>12</v>
      </c>
      <c r="J19" s="279">
        <v>2210</v>
      </c>
      <c r="K19" s="17" t="s">
        <v>21</v>
      </c>
      <c r="L19" s="5">
        <v>60</v>
      </c>
      <c r="M19" s="108">
        <v>5.4545454545454543E-2</v>
      </c>
      <c r="N19" s="20">
        <v>5.6890598559290728E-4</v>
      </c>
      <c r="O19" s="263">
        <v>5</v>
      </c>
      <c r="P19" s="263"/>
      <c r="Q19" s="109">
        <v>12</v>
      </c>
    </row>
    <row r="20" spans="1:19" ht="20.25" x14ac:dyDescent="0.25">
      <c r="A20" s="279"/>
      <c r="B20" s="15" t="s">
        <v>22</v>
      </c>
      <c r="C20" s="5">
        <v>540</v>
      </c>
      <c r="D20" s="6">
        <v>0.49046321525885561</v>
      </c>
      <c r="E20" s="20">
        <v>4.8115618551390739E-3</v>
      </c>
      <c r="F20" s="60">
        <v>16</v>
      </c>
      <c r="G20" s="16">
        <v>3</v>
      </c>
      <c r="H20" s="14">
        <v>12</v>
      </c>
      <c r="J20" s="279"/>
      <c r="K20" s="15" t="s">
        <v>22</v>
      </c>
      <c r="L20" s="5">
        <v>540</v>
      </c>
      <c r="M20" s="108">
        <v>0.49090909090909091</v>
      </c>
      <c r="N20" s="20">
        <v>5.1201538703361657E-3</v>
      </c>
      <c r="O20" s="110">
        <v>16</v>
      </c>
      <c r="P20" s="16">
        <v>3</v>
      </c>
      <c r="Q20" s="109">
        <v>12</v>
      </c>
    </row>
    <row r="21" spans="1:19" ht="20.25" x14ac:dyDescent="0.25">
      <c r="A21" s="58">
        <v>2222</v>
      </c>
      <c r="B21" s="17" t="s">
        <v>23</v>
      </c>
      <c r="C21" s="5">
        <v>67.98</v>
      </c>
      <c r="D21" s="6">
        <v>6.1743869209809267E-2</v>
      </c>
      <c r="E21" s="20">
        <v>6.0572217576361899E-4</v>
      </c>
      <c r="F21" s="61">
        <v>8</v>
      </c>
      <c r="G21" s="264">
        <v>1.45</v>
      </c>
      <c r="H21" s="265"/>
      <c r="J21" s="58">
        <v>2222</v>
      </c>
      <c r="K21" s="17" t="s">
        <v>23</v>
      </c>
      <c r="L21" s="5">
        <v>67.98</v>
      </c>
      <c r="M21" s="108">
        <v>6.1800000000000001E-2</v>
      </c>
      <c r="N21" s="20">
        <v>6.4457048167676403E-4</v>
      </c>
      <c r="O21" s="111">
        <v>8</v>
      </c>
      <c r="P21" s="264">
        <v>1.45</v>
      </c>
      <c r="Q21" s="264"/>
    </row>
    <row r="22" spans="1:19" ht="38.450000000000003" customHeight="1" x14ac:dyDescent="0.25">
      <c r="A22" s="279">
        <v>2223</v>
      </c>
      <c r="B22" s="225" t="s">
        <v>182</v>
      </c>
      <c r="C22" s="5">
        <v>4179.3819000000003</v>
      </c>
      <c r="D22" s="6">
        <v>3.795987193460491</v>
      </c>
      <c r="E22" s="20">
        <v>3.7239545422404943E-2</v>
      </c>
      <c r="F22" s="87">
        <v>24762</v>
      </c>
      <c r="G22" s="266">
        <v>0.12587000000000001</v>
      </c>
      <c r="H22" s="267"/>
      <c r="J22" s="279">
        <v>2223</v>
      </c>
      <c r="K22" s="225" t="s">
        <v>182</v>
      </c>
      <c r="L22" s="5">
        <v>4179.3819000000003</v>
      </c>
      <c r="M22" s="108">
        <v>3.7994380909090912</v>
      </c>
      <c r="N22" s="20">
        <v>3.9627922983144298E-2</v>
      </c>
      <c r="O22" s="112">
        <v>24762</v>
      </c>
      <c r="P22" s="266">
        <v>0.12587000000000001</v>
      </c>
      <c r="Q22" s="266"/>
    </row>
    <row r="23" spans="1:19" ht="24.6" customHeight="1" x14ac:dyDescent="0.25">
      <c r="A23" s="279"/>
      <c r="B23" s="15" t="s">
        <v>177</v>
      </c>
      <c r="C23" s="5">
        <v>787.19999999999993</v>
      </c>
      <c r="D23" s="6">
        <v>0.71498637602179826</v>
      </c>
      <c r="E23" s="20">
        <v>7.0141879488249612E-3</v>
      </c>
      <c r="F23" s="63">
        <v>12</v>
      </c>
      <c r="G23" s="268">
        <v>65.599999999999994</v>
      </c>
      <c r="H23" s="269"/>
      <c r="J23" s="279"/>
      <c r="K23" s="15" t="s">
        <v>177</v>
      </c>
      <c r="L23" s="5">
        <v>787.19999999999993</v>
      </c>
      <c r="M23" s="108">
        <v>0.71563636363636363</v>
      </c>
      <c r="N23" s="20">
        <v>7.4640465309789433E-3</v>
      </c>
      <c r="O23" s="109">
        <v>12</v>
      </c>
      <c r="P23" s="268">
        <v>65.599999999999994</v>
      </c>
      <c r="Q23" s="268"/>
    </row>
    <row r="24" spans="1:19" ht="37.5" x14ac:dyDescent="0.25">
      <c r="A24" s="102">
        <v>2243</v>
      </c>
      <c r="B24" s="84" t="s">
        <v>142</v>
      </c>
      <c r="C24" s="91">
        <v>2163.33</v>
      </c>
      <c r="D24" s="86">
        <v>1.9648773841961853</v>
      </c>
      <c r="E24" s="20">
        <v>1.9275918718662986E-2</v>
      </c>
      <c r="F24" s="270" t="s">
        <v>27</v>
      </c>
      <c r="G24" s="271"/>
      <c r="H24" s="272"/>
      <c r="J24" s="102">
        <v>2243</v>
      </c>
      <c r="K24" s="84" t="s">
        <v>178</v>
      </c>
      <c r="L24" s="91">
        <v>2201</v>
      </c>
      <c r="M24" s="124">
        <v>2.000909090909091</v>
      </c>
      <c r="N24" s="20">
        <v>2.0869367904833149E-2</v>
      </c>
      <c r="O24" s="271" t="s">
        <v>27</v>
      </c>
      <c r="P24" s="271"/>
      <c r="Q24" s="271"/>
    </row>
    <row r="25" spans="1:19" ht="20.25" x14ac:dyDescent="0.25">
      <c r="A25" s="58">
        <v>2310</v>
      </c>
      <c r="B25" s="17" t="s">
        <v>28</v>
      </c>
      <c r="C25" s="5">
        <v>40</v>
      </c>
      <c r="D25" s="6">
        <v>3.6330608537693009E-2</v>
      </c>
      <c r="E25" s="20">
        <v>3.5641198926956107E-4</v>
      </c>
      <c r="F25" s="270" t="s">
        <v>29</v>
      </c>
      <c r="G25" s="271"/>
      <c r="H25" s="272"/>
      <c r="J25" s="58">
        <v>2310</v>
      </c>
      <c r="K25" s="17" t="s">
        <v>28</v>
      </c>
      <c r="L25" s="5">
        <v>40</v>
      </c>
      <c r="M25" s="108">
        <v>3.6363636363636362E-2</v>
      </c>
      <c r="N25" s="20">
        <v>3.7927065706193824E-4</v>
      </c>
      <c r="O25" s="271" t="s">
        <v>29</v>
      </c>
      <c r="P25" s="271"/>
      <c r="Q25" s="271"/>
    </row>
    <row r="26" spans="1:19" ht="41.25" x14ac:dyDescent="0.25">
      <c r="A26" s="102">
        <v>2321</v>
      </c>
      <c r="B26" s="224" t="s">
        <v>181</v>
      </c>
      <c r="C26" s="91">
        <v>51641.999999999993</v>
      </c>
      <c r="D26" s="86">
        <v>46.904632152588547</v>
      </c>
      <c r="E26" s="20">
        <v>0.46014569874646671</v>
      </c>
      <c r="F26" s="92">
        <v>1200</v>
      </c>
      <c r="G26" s="273">
        <v>45</v>
      </c>
      <c r="H26" s="274"/>
      <c r="J26" s="102">
        <v>2321</v>
      </c>
      <c r="K26" s="84" t="s">
        <v>176</v>
      </c>
      <c r="L26" s="91">
        <v>42262</v>
      </c>
      <c r="M26" s="124">
        <v>38.42</v>
      </c>
      <c r="N26" s="20">
        <v>0.40071841271879083</v>
      </c>
      <c r="O26" s="113">
        <v>1625</v>
      </c>
      <c r="P26" s="313">
        <v>25</v>
      </c>
      <c r="Q26" s="313"/>
    </row>
    <row r="27" spans="1:19" ht="37.5" x14ac:dyDescent="0.25">
      <c r="A27" s="102">
        <v>2322</v>
      </c>
      <c r="B27" s="84" t="s">
        <v>141</v>
      </c>
      <c r="C27" s="91">
        <v>500</v>
      </c>
      <c r="D27" s="86">
        <v>0.45413260672116257</v>
      </c>
      <c r="E27" s="20">
        <v>4.4551498658695135E-3</v>
      </c>
      <c r="F27" s="64" t="s">
        <v>32</v>
      </c>
      <c r="G27" s="18"/>
      <c r="H27" s="19"/>
      <c r="J27" s="102">
        <v>2233</v>
      </c>
      <c r="K27" s="84" t="s">
        <v>86</v>
      </c>
      <c r="L27" s="91">
        <v>2000</v>
      </c>
      <c r="M27" s="124">
        <v>1.8181818181818181</v>
      </c>
      <c r="N27" s="20">
        <v>1.8963532853096911E-2</v>
      </c>
      <c r="O27" s="114"/>
      <c r="P27" s="66"/>
      <c r="Q27" s="66"/>
    </row>
    <row r="28" spans="1:19" ht="37.5" x14ac:dyDescent="0.25">
      <c r="A28" s="102">
        <v>2350</v>
      </c>
      <c r="B28" s="84" t="s">
        <v>67</v>
      </c>
      <c r="C28" s="91">
        <v>250</v>
      </c>
      <c r="D28" s="86">
        <v>0.22706630336058128</v>
      </c>
      <c r="E28" s="20">
        <v>2.2275749329347568E-3</v>
      </c>
      <c r="F28" s="275" t="s">
        <v>34</v>
      </c>
      <c r="G28" s="276"/>
      <c r="H28" s="277"/>
      <c r="J28" s="102">
        <v>2350</v>
      </c>
      <c r="K28" s="84" t="s">
        <v>33</v>
      </c>
      <c r="L28" s="91">
        <v>100</v>
      </c>
      <c r="M28" s="124">
        <v>9.0909090909090912E-2</v>
      </c>
      <c r="N28" s="20">
        <v>9.4817664265484558E-4</v>
      </c>
      <c r="O28" s="276" t="s">
        <v>56</v>
      </c>
      <c r="P28" s="276"/>
      <c r="Q28" s="276"/>
    </row>
    <row r="29" spans="1:19" ht="21.6" customHeight="1" x14ac:dyDescent="0.25">
      <c r="A29" s="58">
        <v>2515</v>
      </c>
      <c r="B29" s="17" t="s">
        <v>35</v>
      </c>
      <c r="C29" s="5">
        <v>627.19000000000005</v>
      </c>
      <c r="D29" s="6">
        <v>0.56965485921889192</v>
      </c>
      <c r="E29" s="20">
        <v>5.5884508887494005E-3</v>
      </c>
      <c r="F29" s="278"/>
      <c r="G29" s="279"/>
      <c r="H29" s="280"/>
      <c r="J29" s="58">
        <v>2515</v>
      </c>
      <c r="K29" s="17" t="s">
        <v>35</v>
      </c>
      <c r="L29" s="5">
        <v>627.19000000000005</v>
      </c>
      <c r="M29" s="108">
        <v>0.57017272727272728</v>
      </c>
      <c r="N29" s="20">
        <v>5.9468690850669262E-3</v>
      </c>
      <c r="O29" s="279"/>
      <c r="P29" s="279"/>
      <c r="Q29" s="279"/>
    </row>
    <row r="30" spans="1:19" ht="22.9" customHeight="1" thickBot="1" x14ac:dyDescent="0.3">
      <c r="A30" s="319" t="s">
        <v>180</v>
      </c>
      <c r="B30" s="319"/>
      <c r="C30" s="106">
        <v>60857.081899999997</v>
      </c>
      <c r="D30" s="104">
        <v>55.274370481380558</v>
      </c>
      <c r="E30" s="105">
        <v>0.54225484052798978</v>
      </c>
      <c r="F30" s="329"/>
      <c r="G30" s="258"/>
      <c r="H30" s="259"/>
      <c r="J30" s="319" t="s">
        <v>180</v>
      </c>
      <c r="K30" s="319"/>
      <c r="L30" s="106">
        <v>52864.751900000003</v>
      </c>
      <c r="M30" s="106">
        <v>48.058865363636372</v>
      </c>
      <c r="N30" s="105">
        <v>0.50125122971323377</v>
      </c>
      <c r="O30" s="279"/>
      <c r="P30" s="279"/>
      <c r="Q30" s="279"/>
      <c r="R30" s="52">
        <v>60857.081899999997</v>
      </c>
      <c r="S30" s="52">
        <v>52864.751900000003</v>
      </c>
    </row>
    <row r="31" spans="1:19" ht="22.9" customHeight="1" thickBot="1" x14ac:dyDescent="0.3">
      <c r="A31" s="318" t="s">
        <v>37</v>
      </c>
      <c r="B31" s="318"/>
      <c r="C31" s="318"/>
      <c r="D31" s="318"/>
      <c r="E31" s="318"/>
      <c r="F31" s="96"/>
      <c r="G31" s="96"/>
      <c r="H31" s="97"/>
      <c r="J31" s="318" t="s">
        <v>37</v>
      </c>
      <c r="K31" s="318"/>
      <c r="L31" s="318"/>
      <c r="M31" s="318"/>
      <c r="N31" s="318"/>
      <c r="O31" s="318"/>
      <c r="P31" s="318"/>
      <c r="Q31" s="318"/>
    </row>
    <row r="32" spans="1:19" ht="42" customHeight="1" x14ac:dyDescent="0.3">
      <c r="A32" s="239" t="s">
        <v>38</v>
      </c>
      <c r="B32" s="239"/>
      <c r="C32" s="5">
        <v>334.92</v>
      </c>
      <c r="D32" s="6">
        <v>0.30419618528610354</v>
      </c>
      <c r="E32" s="20">
        <v>2.9842375861540349E-3</v>
      </c>
      <c r="F32" s="23"/>
      <c r="G32" s="24"/>
      <c r="H32" s="25"/>
      <c r="J32" s="239" t="s">
        <v>38</v>
      </c>
      <c r="K32" s="239"/>
      <c r="L32" s="5">
        <v>334.92</v>
      </c>
      <c r="M32" s="108">
        <v>0.30447272727272728</v>
      </c>
      <c r="N32" s="20">
        <v>3.1756332115796091E-3</v>
      </c>
      <c r="O32" s="58"/>
      <c r="P32" s="115"/>
      <c r="Q32" s="115"/>
    </row>
    <row r="33" spans="1:19" ht="40.9" customHeight="1" x14ac:dyDescent="0.3">
      <c r="A33" s="325" t="s">
        <v>183</v>
      </c>
      <c r="B33" s="325"/>
      <c r="C33" s="226">
        <v>3136.8</v>
      </c>
      <c r="D33" s="56">
        <v>2.8490463215258859</v>
      </c>
      <c r="E33" s="20">
        <v>2.7949828198518979E-2</v>
      </c>
      <c r="F33" s="27"/>
      <c r="G33" s="28"/>
      <c r="H33" s="29"/>
      <c r="J33" s="325" t="s">
        <v>184</v>
      </c>
      <c r="K33" s="325"/>
      <c r="L33" s="226">
        <v>27876.1</v>
      </c>
      <c r="M33" s="122">
        <v>25.341909090909091</v>
      </c>
      <c r="N33" s="20">
        <v>0.26431466908310741</v>
      </c>
      <c r="O33" s="58"/>
      <c r="P33" s="115"/>
      <c r="Q33" s="115"/>
    </row>
    <row r="34" spans="1:19" ht="39" customHeight="1" x14ac:dyDescent="0.3">
      <c r="A34" s="239" t="s">
        <v>39</v>
      </c>
      <c r="B34" s="239"/>
      <c r="C34" s="5">
        <v>93.24</v>
      </c>
      <c r="D34" s="6">
        <v>8.4686648501362399E-2</v>
      </c>
      <c r="E34" s="20">
        <v>8.3079634698734681E-4</v>
      </c>
      <c r="F34" s="30"/>
      <c r="G34" s="31"/>
      <c r="H34" s="32"/>
      <c r="J34" s="239" t="s">
        <v>39</v>
      </c>
      <c r="K34" s="239"/>
      <c r="L34" s="5">
        <v>93.24</v>
      </c>
      <c r="M34" s="108">
        <v>8.476363636363636E-2</v>
      </c>
      <c r="N34" s="20">
        <v>8.8407990161137797E-4</v>
      </c>
      <c r="O34" s="58"/>
      <c r="P34" s="115"/>
      <c r="Q34" s="115"/>
    </row>
    <row r="35" spans="1:19" ht="39" customHeight="1" x14ac:dyDescent="0.3">
      <c r="A35" s="239" t="s">
        <v>40</v>
      </c>
      <c r="B35" s="239"/>
      <c r="C35" s="5">
        <v>93.24</v>
      </c>
      <c r="D35" s="6">
        <v>8.4686648501362399E-2</v>
      </c>
      <c r="E35" s="20">
        <v>8.3079634698734681E-4</v>
      </c>
      <c r="F35" s="30"/>
      <c r="G35" s="31"/>
      <c r="H35" s="32"/>
      <c r="J35" s="239" t="s">
        <v>40</v>
      </c>
      <c r="K35" s="239"/>
      <c r="L35" s="5">
        <v>93.24</v>
      </c>
      <c r="M35" s="108">
        <v>8.476363636363636E-2</v>
      </c>
      <c r="N35" s="20">
        <v>8.8407990161137797E-4</v>
      </c>
      <c r="O35" s="58"/>
      <c r="P35" s="115"/>
      <c r="Q35" s="115"/>
    </row>
    <row r="36" spans="1:19" ht="39" customHeight="1" x14ac:dyDescent="0.3">
      <c r="A36" s="239" t="s">
        <v>40</v>
      </c>
      <c r="B36" s="239"/>
      <c r="C36" s="5">
        <v>93.24</v>
      </c>
      <c r="D36" s="6">
        <v>8.4686648501362399E-2</v>
      </c>
      <c r="E36" s="20">
        <v>8.3079634698734681E-4</v>
      </c>
      <c r="F36" s="30"/>
      <c r="G36" s="31"/>
      <c r="H36" s="32"/>
      <c r="J36" s="239" t="s">
        <v>40</v>
      </c>
      <c r="K36" s="239"/>
      <c r="L36" s="5">
        <v>93.24</v>
      </c>
      <c r="M36" s="108">
        <v>8.476363636363636E-2</v>
      </c>
      <c r="N36" s="20">
        <v>8.8407990161137797E-4</v>
      </c>
      <c r="O36" s="58"/>
      <c r="P36" s="115"/>
      <c r="Q36" s="115"/>
    </row>
    <row r="37" spans="1:19" ht="39" customHeight="1" x14ac:dyDescent="0.3">
      <c r="A37" s="239" t="s">
        <v>41</v>
      </c>
      <c r="B37" s="239"/>
      <c r="C37" s="5">
        <v>93.24</v>
      </c>
      <c r="D37" s="6">
        <v>8.4686648501362399E-2</v>
      </c>
      <c r="E37" s="20">
        <v>8.3079634698734681E-4</v>
      </c>
      <c r="F37" s="30"/>
      <c r="G37" s="31"/>
      <c r="H37" s="32"/>
      <c r="J37" s="239" t="s">
        <v>41</v>
      </c>
      <c r="K37" s="239"/>
      <c r="L37" s="5">
        <v>93.24</v>
      </c>
      <c r="M37" s="108">
        <v>8.476363636363636E-2</v>
      </c>
      <c r="N37" s="20">
        <v>8.8407990161137797E-4</v>
      </c>
      <c r="O37" s="58"/>
      <c r="P37" s="115"/>
      <c r="Q37" s="115"/>
    </row>
    <row r="38" spans="1:19" ht="39" customHeight="1" x14ac:dyDescent="0.3">
      <c r="A38" s="239" t="s">
        <v>42</v>
      </c>
      <c r="B38" s="239"/>
      <c r="C38" s="5">
        <v>35.64</v>
      </c>
      <c r="D38" s="6">
        <v>3.2370572207084468E-2</v>
      </c>
      <c r="E38" s="20">
        <v>3.1756308243917889E-4</v>
      </c>
      <c r="F38" s="30"/>
      <c r="G38" s="31"/>
      <c r="H38" s="32"/>
      <c r="J38" s="239" t="s">
        <v>42</v>
      </c>
      <c r="K38" s="239"/>
      <c r="L38" s="5">
        <v>35.64</v>
      </c>
      <c r="M38" s="108">
        <v>3.2399999999999998E-2</v>
      </c>
      <c r="N38" s="20">
        <v>3.3793015544218697E-4</v>
      </c>
      <c r="O38" s="58"/>
      <c r="P38" s="115"/>
      <c r="Q38" s="115"/>
    </row>
    <row r="39" spans="1:19" ht="39" customHeight="1" x14ac:dyDescent="0.3">
      <c r="A39" s="239" t="s">
        <v>45</v>
      </c>
      <c r="B39" s="239"/>
      <c r="C39" s="5">
        <v>91.68</v>
      </c>
      <c r="D39" s="6">
        <v>8.3269754768392379E-2</v>
      </c>
      <c r="E39" s="20">
        <v>8.1689627940583398E-4</v>
      </c>
      <c r="F39" s="30"/>
      <c r="G39" s="31"/>
      <c r="H39" s="32"/>
      <c r="J39" s="239" t="s">
        <v>45</v>
      </c>
      <c r="K39" s="239"/>
      <c r="L39" s="5">
        <v>91.68</v>
      </c>
      <c r="M39" s="108">
        <v>8.3345454545454556E-2</v>
      </c>
      <c r="N39" s="20">
        <v>8.692883459859625E-4</v>
      </c>
      <c r="O39" s="58"/>
      <c r="P39" s="115"/>
      <c r="Q39" s="115"/>
    </row>
    <row r="40" spans="1:19" ht="39" customHeight="1" x14ac:dyDescent="0.3">
      <c r="A40" s="239" t="s">
        <v>46</v>
      </c>
      <c r="B40" s="239"/>
      <c r="C40" s="5">
        <v>81.599999999999994</v>
      </c>
      <c r="D40" s="6">
        <v>7.4114441416893731E-2</v>
      </c>
      <c r="E40" s="20">
        <v>7.2708045810990446E-4</v>
      </c>
      <c r="F40" s="30"/>
      <c r="G40" s="31"/>
      <c r="H40" s="32"/>
      <c r="J40" s="239" t="s">
        <v>46</v>
      </c>
      <c r="K40" s="239"/>
      <c r="L40" s="5">
        <v>81.599999999999994</v>
      </c>
      <c r="M40" s="108">
        <v>7.4181818181818182E-2</v>
      </c>
      <c r="N40" s="20">
        <v>7.7371214040635394E-4</v>
      </c>
      <c r="O40" s="58"/>
      <c r="P40" s="115"/>
      <c r="Q40" s="115"/>
    </row>
    <row r="41" spans="1:19" ht="39" customHeight="1" x14ac:dyDescent="0.3">
      <c r="A41" s="239" t="s">
        <v>47</v>
      </c>
      <c r="B41" s="239"/>
      <c r="C41" s="5">
        <v>271.68</v>
      </c>
      <c r="D41" s="6">
        <v>0.24675749318801091</v>
      </c>
      <c r="E41" s="20">
        <v>2.4207502311188586E-3</v>
      </c>
      <c r="F41" s="30"/>
      <c r="G41" s="31"/>
      <c r="H41" s="32"/>
      <c r="J41" s="239" t="s">
        <v>47</v>
      </c>
      <c r="K41" s="239"/>
      <c r="L41" s="5">
        <v>271.68</v>
      </c>
      <c r="M41" s="108">
        <v>0.24698181818181819</v>
      </c>
      <c r="N41" s="20">
        <v>2.5760063027646845E-3</v>
      </c>
      <c r="O41" s="58"/>
      <c r="P41" s="115"/>
      <c r="Q41" s="115"/>
    </row>
    <row r="42" spans="1:19" ht="39" customHeight="1" x14ac:dyDescent="0.3">
      <c r="A42" s="340" t="s">
        <v>48</v>
      </c>
      <c r="B42" s="340"/>
      <c r="C42" s="91">
        <v>77.040000000000006</v>
      </c>
      <c r="D42" s="86">
        <v>6.9972752043596737E-2</v>
      </c>
      <c r="E42" s="20">
        <v>6.8644949133317467E-4</v>
      </c>
      <c r="F42" s="30"/>
      <c r="G42" s="31"/>
      <c r="H42" s="32"/>
      <c r="J42" s="239"/>
      <c r="K42" s="239"/>
      <c r="L42" s="123"/>
      <c r="M42" s="123"/>
      <c r="N42" s="20"/>
      <c r="O42" s="58"/>
      <c r="P42" s="115"/>
      <c r="Q42" s="115"/>
    </row>
    <row r="43" spans="1:19" ht="58.9" customHeight="1" x14ac:dyDescent="0.3">
      <c r="A43" s="342" t="s">
        <v>187</v>
      </c>
      <c r="B43" s="342"/>
      <c r="C43" s="141"/>
      <c r="D43" s="142">
        <v>0</v>
      </c>
      <c r="E43" s="20">
        <v>0</v>
      </c>
      <c r="F43" s="30"/>
      <c r="G43" s="31"/>
      <c r="H43" s="32"/>
      <c r="J43" s="343" t="s">
        <v>186</v>
      </c>
      <c r="K43" s="343"/>
      <c r="L43" s="227">
        <v>9916.68</v>
      </c>
      <c r="M43" s="122">
        <v>9.0151636363636367</v>
      </c>
      <c r="N43" s="20">
        <v>9.4027643486824533E-2</v>
      </c>
      <c r="O43" s="58"/>
      <c r="P43" s="115"/>
      <c r="Q43" s="115"/>
      <c r="R43" s="52">
        <v>4402.3199999999988</v>
      </c>
      <c r="S43" s="52">
        <v>38981.26</v>
      </c>
    </row>
    <row r="44" spans="1:19" ht="23.45" customHeight="1" x14ac:dyDescent="0.3">
      <c r="A44" s="319" t="s">
        <v>50</v>
      </c>
      <c r="B44" s="319"/>
      <c r="C44" s="106">
        <v>4402.3199999999988</v>
      </c>
      <c r="D44" s="104">
        <v>3.9984741144414158</v>
      </c>
      <c r="E44" s="105">
        <v>3.9225990715029357E-2</v>
      </c>
      <c r="F44" s="30"/>
      <c r="G44" s="33"/>
      <c r="H44" s="34"/>
      <c r="J44" s="319" t="s">
        <v>50</v>
      </c>
      <c r="K44" s="319"/>
      <c r="L44" s="106">
        <v>38981.26</v>
      </c>
      <c r="M44" s="106">
        <v>35.437509090909089</v>
      </c>
      <c r="N44" s="105">
        <v>0.36961120233255623</v>
      </c>
      <c r="O44" s="58"/>
      <c r="P44" s="117"/>
      <c r="Q44" s="117"/>
    </row>
    <row r="45" spans="1:19" ht="24" thickBot="1" x14ac:dyDescent="0.4">
      <c r="A45" s="320" t="s">
        <v>51</v>
      </c>
      <c r="B45" s="320"/>
      <c r="C45" s="321">
        <v>112229.67016899999</v>
      </c>
      <c r="D45" s="322">
        <v>102.02697288090909</v>
      </c>
      <c r="E45" s="323">
        <v>0.99999999999999989</v>
      </c>
      <c r="F45" s="99"/>
      <c r="G45" s="36"/>
      <c r="H45" s="37"/>
      <c r="J45" s="320" t="s">
        <v>51</v>
      </c>
      <c r="K45" s="320"/>
      <c r="L45" s="321">
        <v>105465.58046400001</v>
      </c>
      <c r="M45" s="322">
        <v>95.877800421818193</v>
      </c>
      <c r="N45" s="323">
        <v>1</v>
      </c>
      <c r="O45" s="118"/>
      <c r="P45" s="119"/>
      <c r="Q45" s="119"/>
      <c r="R45" s="125">
        <v>112229.67016899998</v>
      </c>
      <c r="S45" s="125">
        <v>105465.580464</v>
      </c>
    </row>
    <row r="46" spans="1:19" ht="68.45" customHeight="1" thickBot="1" x14ac:dyDescent="0.3">
      <c r="A46" s="324" t="s">
        <v>60</v>
      </c>
      <c r="B46" s="324"/>
      <c r="C46" s="321"/>
      <c r="D46" s="322"/>
      <c r="E46" s="323"/>
      <c r="F46" s="100">
        <v>1100</v>
      </c>
      <c r="G46" s="71">
        <v>1101</v>
      </c>
      <c r="H46" s="39"/>
      <c r="J46" s="324" t="s">
        <v>60</v>
      </c>
      <c r="K46" s="324"/>
      <c r="L46" s="321"/>
      <c r="M46" s="322"/>
      <c r="N46" s="323"/>
      <c r="O46" s="120">
        <v>1100</v>
      </c>
      <c r="P46" s="121">
        <v>1100</v>
      </c>
      <c r="Q46" s="120"/>
    </row>
    <row r="48" spans="1:19" hidden="1" x14ac:dyDescent="0.25">
      <c r="B48">
        <v>1100</v>
      </c>
      <c r="D48" s="52">
        <v>102.02697288090909</v>
      </c>
      <c r="K48">
        <v>1100</v>
      </c>
      <c r="M48" s="125">
        <v>95.877800421818193</v>
      </c>
    </row>
  </sheetData>
  <mergeCells count="101">
    <mergeCell ref="L45:L46"/>
    <mergeCell ref="M45:M46"/>
    <mergeCell ref="N45:N46"/>
    <mergeCell ref="A46:B46"/>
    <mergeCell ref="J46:K46"/>
    <mergeCell ref="A43:B43"/>
    <mergeCell ref="J43:K43"/>
    <mergeCell ref="A44:B44"/>
    <mergeCell ref="J44:K44"/>
    <mergeCell ref="A45:B45"/>
    <mergeCell ref="C45:C46"/>
    <mergeCell ref="D45:D46"/>
    <mergeCell ref="E45:E46"/>
    <mergeCell ref="J45:K45"/>
    <mergeCell ref="A40:B40"/>
    <mergeCell ref="J40:K40"/>
    <mergeCell ref="A41:B41"/>
    <mergeCell ref="J41:K41"/>
    <mergeCell ref="A42:B42"/>
    <mergeCell ref="J42:K42"/>
    <mergeCell ref="A37:B37"/>
    <mergeCell ref="J37:K37"/>
    <mergeCell ref="A38:B38"/>
    <mergeCell ref="J38:K38"/>
    <mergeCell ref="A39:B39"/>
    <mergeCell ref="J39:K39"/>
    <mergeCell ref="A34:B34"/>
    <mergeCell ref="J34:K34"/>
    <mergeCell ref="A35:B35"/>
    <mergeCell ref="J35:K35"/>
    <mergeCell ref="A36:B36"/>
    <mergeCell ref="J36:K36"/>
    <mergeCell ref="A31:E31"/>
    <mergeCell ref="J31:Q31"/>
    <mergeCell ref="A32:B32"/>
    <mergeCell ref="J32:K32"/>
    <mergeCell ref="A33:B33"/>
    <mergeCell ref="J33:K33"/>
    <mergeCell ref="F28:H28"/>
    <mergeCell ref="O28:Q28"/>
    <mergeCell ref="F29:H29"/>
    <mergeCell ref="O29:Q29"/>
    <mergeCell ref="A30:B30"/>
    <mergeCell ref="F30:H30"/>
    <mergeCell ref="J30:K30"/>
    <mergeCell ref="O30:Q30"/>
    <mergeCell ref="F24:H24"/>
    <mergeCell ref="O24:Q24"/>
    <mergeCell ref="F25:H25"/>
    <mergeCell ref="O25:Q25"/>
    <mergeCell ref="G26:H26"/>
    <mergeCell ref="P26:Q26"/>
    <mergeCell ref="A22:A23"/>
    <mergeCell ref="G22:H22"/>
    <mergeCell ref="J22:J23"/>
    <mergeCell ref="P22:Q22"/>
    <mergeCell ref="G23:H23"/>
    <mergeCell ref="P23:Q23"/>
    <mergeCell ref="A19:A20"/>
    <mergeCell ref="F19:G19"/>
    <mergeCell ref="J19:J20"/>
    <mergeCell ref="O19:P19"/>
    <mergeCell ref="G21:H21"/>
    <mergeCell ref="P21:Q21"/>
    <mergeCell ref="F17:H17"/>
    <mergeCell ref="O17:Q17"/>
    <mergeCell ref="A18:B18"/>
    <mergeCell ref="F18:H18"/>
    <mergeCell ref="J18:K18"/>
    <mergeCell ref="O18:Q18"/>
    <mergeCell ref="F13:H13"/>
    <mergeCell ref="F14:H14"/>
    <mergeCell ref="O14:Q14"/>
    <mergeCell ref="F15:H15"/>
    <mergeCell ref="O15:Q15"/>
    <mergeCell ref="F16:H16"/>
    <mergeCell ref="O16:Q16"/>
    <mergeCell ref="F10:H10"/>
    <mergeCell ref="O10:Q10"/>
    <mergeCell ref="F11:H11"/>
    <mergeCell ref="O11:Q11"/>
    <mergeCell ref="F12:H12"/>
    <mergeCell ref="O12:Q12"/>
    <mergeCell ref="F7:H7"/>
    <mergeCell ref="O7:Q7"/>
    <mergeCell ref="A8:E8"/>
    <mergeCell ref="J8:Q8"/>
    <mergeCell ref="F9:H9"/>
    <mergeCell ref="O9:Q9"/>
    <mergeCell ref="A4:H4"/>
    <mergeCell ref="J4:Q4"/>
    <mergeCell ref="B5:D5"/>
    <mergeCell ref="K5:M5"/>
    <mergeCell ref="A6:H6"/>
    <mergeCell ref="J6:Q6"/>
    <mergeCell ref="A1:H1"/>
    <mergeCell ref="J1:Q1"/>
    <mergeCell ref="A2:H2"/>
    <mergeCell ref="J2:Q2"/>
    <mergeCell ref="A3:H3"/>
    <mergeCell ref="J3:Q3"/>
  </mergeCells>
  <pageMargins left="0.7" right="0.7" top="0.75" bottom="0.75" header="0.3" footer="0.3"/>
  <pageSetup paperSize="8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A73A-FE9D-4C0A-95DE-32EAB1CED5BD}">
  <sheetPr>
    <pageSetUpPr fitToPage="1"/>
  </sheetPr>
  <dimension ref="A1:F16"/>
  <sheetViews>
    <sheetView workbookViewId="0">
      <selection activeCell="D13" sqref="D13"/>
    </sheetView>
  </sheetViews>
  <sheetFormatPr defaultColWidth="43" defaultRowHeight="15" x14ac:dyDescent="0.25"/>
  <cols>
    <col min="1" max="1" width="61" customWidth="1"/>
    <col min="2" max="2" width="24.140625" customWidth="1"/>
    <col min="3" max="3" width="24.85546875" customWidth="1"/>
    <col min="4" max="4" width="39.140625" customWidth="1"/>
  </cols>
  <sheetData>
    <row r="1" spans="1:6" s="168" customFormat="1" ht="67.150000000000006" customHeight="1" x14ac:dyDescent="0.35">
      <c r="A1" s="165"/>
      <c r="B1" s="166" t="s">
        <v>145</v>
      </c>
      <c r="C1" s="166" t="s">
        <v>146</v>
      </c>
      <c r="D1" s="167" t="s">
        <v>9</v>
      </c>
    </row>
    <row r="2" spans="1:6" s="168" customFormat="1" ht="23.25" x14ac:dyDescent="0.35">
      <c r="A2" s="176" t="s">
        <v>107</v>
      </c>
      <c r="B2" s="201">
        <v>31368.400000000001</v>
      </c>
      <c r="C2" s="201">
        <v>278761</v>
      </c>
      <c r="D2" s="177" t="s">
        <v>158</v>
      </c>
    </row>
    <row r="3" spans="1:6" s="168" customFormat="1" ht="23.25" hidden="1" x14ac:dyDescent="0.35">
      <c r="A3" s="169"/>
      <c r="B3" s="202">
        <f>B2*0.35</f>
        <v>10978.94</v>
      </c>
      <c r="C3" s="202">
        <f>C2*0.35</f>
        <v>97566.349999999991</v>
      </c>
      <c r="D3" s="170"/>
    </row>
    <row r="4" spans="1:6" s="168" customFormat="1" ht="23.25" hidden="1" x14ac:dyDescent="0.35">
      <c r="A4" s="169"/>
      <c r="B4" s="202">
        <f>B2*0.65</f>
        <v>20389.460000000003</v>
      </c>
      <c r="C4" s="202">
        <f>C2*0.65</f>
        <v>181194.65</v>
      </c>
      <c r="D4" s="170"/>
    </row>
    <row r="5" spans="1:6" s="168" customFormat="1" ht="31.9" customHeight="1" x14ac:dyDescent="0.35">
      <c r="A5" s="171" t="s">
        <v>104</v>
      </c>
      <c r="B5" s="202">
        <f>B3*0.21</f>
        <v>2305.5774000000001</v>
      </c>
      <c r="C5" s="202">
        <f>C3*0.21</f>
        <v>20488.933499999999</v>
      </c>
      <c r="D5" s="172" t="s">
        <v>70</v>
      </c>
    </row>
    <row r="6" spans="1:6" s="168" customFormat="1" ht="25.15" customHeight="1" x14ac:dyDescent="0.35">
      <c r="A6" s="171" t="s">
        <v>105</v>
      </c>
      <c r="B6" s="202">
        <f>B4*0.21</f>
        <v>4281.7866000000004</v>
      </c>
      <c r="C6" s="202">
        <f>C4*0.21</f>
        <v>38050.876499999998</v>
      </c>
      <c r="D6" s="173"/>
      <c r="E6" s="178"/>
      <c r="F6" s="178"/>
    </row>
    <row r="7" spans="1:6" s="168" customFormat="1" ht="46.5" x14ac:dyDescent="0.35">
      <c r="A7" s="172" t="s">
        <v>71</v>
      </c>
      <c r="B7" s="203">
        <f>B2+B6</f>
        <v>35650.186600000001</v>
      </c>
      <c r="C7" s="203">
        <f>C2+C6</f>
        <v>316811.87650000001</v>
      </c>
      <c r="D7" s="170"/>
    </row>
    <row r="8" spans="1:6" s="168" customFormat="1" ht="46.5" x14ac:dyDescent="0.35">
      <c r="A8" s="174" t="s">
        <v>185</v>
      </c>
      <c r="B8" s="204">
        <f>B2/10</f>
        <v>3136.84</v>
      </c>
      <c r="C8" s="204">
        <f>C2/10</f>
        <v>27876.1</v>
      </c>
      <c r="D8" s="174" t="s">
        <v>106</v>
      </c>
    </row>
    <row r="9" spans="1:6" s="168" customFormat="1" ht="23.25" x14ac:dyDescent="0.35">
      <c r="A9" s="175"/>
      <c r="B9" s="205"/>
      <c r="C9" s="206"/>
      <c r="D9" s="170"/>
    </row>
    <row r="10" spans="1:6" s="168" customFormat="1" ht="24" customHeight="1" x14ac:dyDescent="0.35">
      <c r="A10" s="174" t="s">
        <v>108</v>
      </c>
      <c r="B10" s="201"/>
      <c r="C10" s="207"/>
      <c r="D10" s="177"/>
    </row>
    <row r="11" spans="1:6" s="168" customFormat="1" ht="19.899999999999999" customHeight="1" x14ac:dyDescent="0.35">
      <c r="A11" s="170" t="s">
        <v>109</v>
      </c>
      <c r="B11" s="202">
        <f>B7*0.15</f>
        <v>5347.5279899999996</v>
      </c>
      <c r="C11" s="202">
        <f>C7*0.15</f>
        <v>47521.781475000003</v>
      </c>
      <c r="D11" s="170"/>
    </row>
    <row r="12" spans="1:6" s="168" customFormat="1" ht="23.45" customHeight="1" x14ac:dyDescent="0.35">
      <c r="A12" s="170" t="s">
        <v>73</v>
      </c>
      <c r="B12" s="202">
        <f>B7-B11</f>
        <v>30302.658610000002</v>
      </c>
      <c r="C12" s="202">
        <f>C7-C11</f>
        <v>269290.09502499999</v>
      </c>
      <c r="D12" s="170"/>
    </row>
    <row r="13" spans="1:6" s="168" customFormat="1" ht="46.9" customHeight="1" x14ac:dyDescent="0.35">
      <c r="A13" s="172" t="s">
        <v>134</v>
      </c>
      <c r="B13" s="202">
        <v>5941.78</v>
      </c>
      <c r="C13" s="206">
        <v>52803.08</v>
      </c>
      <c r="D13" s="170"/>
    </row>
    <row r="14" spans="1:6" s="168" customFormat="1" ht="51.6" customHeight="1" x14ac:dyDescent="0.35">
      <c r="A14" s="174" t="s">
        <v>110</v>
      </c>
      <c r="B14" s="204">
        <f>B13/10</f>
        <v>594.178</v>
      </c>
      <c r="C14" s="204">
        <f>C13/10</f>
        <v>5280.308</v>
      </c>
      <c r="D14" s="176"/>
    </row>
    <row r="15" spans="1:6" s="168" customFormat="1" ht="21" customHeight="1" x14ac:dyDescent="0.35">
      <c r="B15" s="208"/>
      <c r="C15" s="208"/>
    </row>
    <row r="16" spans="1:6" s="168" customFormat="1" ht="23.25" x14ac:dyDescent="0.35">
      <c r="A16" s="200" t="s">
        <v>148</v>
      </c>
      <c r="B16" s="209">
        <v>2163.33</v>
      </c>
      <c r="C16" s="209">
        <v>2200.8000000000002</v>
      </c>
      <c r="D16" s="190" t="s">
        <v>149</v>
      </c>
    </row>
  </sheetData>
  <pageMargins left="0.7" right="0.7" top="0.75" bottom="0.75" header="0.3" footer="0.3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2EE3-2972-454D-99D7-8A231B92EC0D}">
  <sheetPr>
    <pageSetUpPr fitToPage="1"/>
  </sheetPr>
  <dimension ref="A1:K31"/>
  <sheetViews>
    <sheetView workbookViewId="0">
      <selection activeCell="D4" sqref="D4"/>
    </sheetView>
  </sheetViews>
  <sheetFormatPr defaultColWidth="8.85546875" defaultRowHeight="23.25" x14ac:dyDescent="0.35"/>
  <cols>
    <col min="1" max="1" width="37.42578125" style="168" customWidth="1"/>
    <col min="2" max="2" width="10.42578125" style="168" customWidth="1"/>
    <col min="3" max="3" width="27.7109375" style="168" customWidth="1"/>
    <col min="4" max="4" width="12.42578125" style="168" customWidth="1"/>
    <col min="5" max="5" width="12.28515625" style="168" customWidth="1"/>
    <col min="6" max="6" width="3.7109375" style="168" customWidth="1"/>
    <col min="7" max="7" width="31.42578125" style="168" customWidth="1"/>
    <col min="8" max="8" width="9.28515625" style="168" customWidth="1"/>
    <col min="9" max="9" width="29.42578125" style="168" customWidth="1"/>
    <col min="10" max="10" width="12" style="168" customWidth="1"/>
    <col min="11" max="11" width="14.7109375" style="168" customWidth="1"/>
    <col min="12" max="16384" width="8.85546875" style="168"/>
  </cols>
  <sheetData>
    <row r="1" spans="1:11" s="181" customFormat="1" x14ac:dyDescent="0.35">
      <c r="A1" s="188" t="s">
        <v>139</v>
      </c>
      <c r="B1" s="188"/>
      <c r="C1" s="191" t="s">
        <v>157</v>
      </c>
      <c r="D1" s="191"/>
      <c r="E1" s="191">
        <v>700</v>
      </c>
      <c r="F1" s="188"/>
      <c r="G1" s="188" t="s">
        <v>140</v>
      </c>
      <c r="H1" s="188"/>
      <c r="I1" s="188"/>
      <c r="J1" s="188"/>
      <c r="K1" s="188"/>
    </row>
    <row r="3" spans="1:11" ht="93" x14ac:dyDescent="0.35">
      <c r="A3" s="182" t="s">
        <v>151</v>
      </c>
      <c r="B3" s="183" t="s">
        <v>118</v>
      </c>
      <c r="C3" s="183" t="s">
        <v>155</v>
      </c>
      <c r="D3" s="183" t="s">
        <v>135</v>
      </c>
      <c r="E3" s="183" t="s">
        <v>137</v>
      </c>
      <c r="F3" s="192"/>
      <c r="G3" s="182" t="s">
        <v>151</v>
      </c>
      <c r="H3" s="183" t="s">
        <v>118</v>
      </c>
      <c r="I3" s="183" t="s">
        <v>156</v>
      </c>
      <c r="J3" s="183" t="s">
        <v>136</v>
      </c>
      <c r="K3" s="183" t="s">
        <v>138</v>
      </c>
    </row>
    <row r="4" spans="1:11" x14ac:dyDescent="0.35">
      <c r="A4" s="182"/>
      <c r="B4" s="182"/>
      <c r="C4" s="182" t="s">
        <v>72</v>
      </c>
      <c r="D4" s="182" t="s">
        <v>72</v>
      </c>
      <c r="E4" s="182" t="s">
        <v>72</v>
      </c>
      <c r="F4" s="193"/>
      <c r="G4" s="182"/>
      <c r="H4" s="182"/>
      <c r="I4" s="182" t="s">
        <v>72</v>
      </c>
      <c r="J4" s="182" t="s">
        <v>72</v>
      </c>
      <c r="K4" s="182" t="s">
        <v>72</v>
      </c>
    </row>
    <row r="5" spans="1:11" x14ac:dyDescent="0.35">
      <c r="A5" s="165" t="s">
        <v>96</v>
      </c>
      <c r="B5" s="165">
        <v>700</v>
      </c>
      <c r="C5" s="165">
        <v>28796.07</v>
      </c>
      <c r="D5" s="165"/>
      <c r="E5" s="184"/>
      <c r="F5" s="178"/>
      <c r="G5" s="165" t="s">
        <v>153</v>
      </c>
      <c r="H5" s="165">
        <v>840</v>
      </c>
      <c r="I5" s="165">
        <f>H5*8</f>
        <v>6720</v>
      </c>
      <c r="J5" s="165"/>
      <c r="K5" s="184"/>
    </row>
    <row r="6" spans="1:11" x14ac:dyDescent="0.35">
      <c r="A6" s="165" t="s">
        <v>152</v>
      </c>
      <c r="B6" s="165">
        <v>780</v>
      </c>
      <c r="C6" s="165">
        <v>753.7</v>
      </c>
      <c r="D6" s="165"/>
      <c r="E6" s="184"/>
      <c r="F6" s="178"/>
      <c r="G6" s="165"/>
      <c r="H6" s="165"/>
      <c r="I6" s="165"/>
      <c r="J6" s="165"/>
      <c r="K6" s="184"/>
    </row>
    <row r="7" spans="1:11" x14ac:dyDescent="0.35">
      <c r="A7" s="165" t="s">
        <v>154</v>
      </c>
      <c r="B7" s="165"/>
      <c r="C7" s="184">
        <f>(C5+C6)*0.2359</f>
        <v>6970.7907430000005</v>
      </c>
      <c r="D7" s="165"/>
      <c r="E7" s="184"/>
      <c r="F7" s="178"/>
      <c r="G7" s="165" t="s">
        <v>154</v>
      </c>
      <c r="H7" s="165"/>
      <c r="I7" s="184">
        <f>I5*0.2359</f>
        <v>1585.248</v>
      </c>
      <c r="J7" s="165"/>
      <c r="K7" s="165"/>
    </row>
    <row r="8" spans="1:11" s="181" customFormat="1" x14ac:dyDescent="0.35">
      <c r="A8" s="185"/>
      <c r="B8" s="185"/>
      <c r="C8" s="186">
        <f>SUM(C5:C7)</f>
        <v>36520.560743000002</v>
      </c>
      <c r="D8" s="196">
        <v>45</v>
      </c>
      <c r="E8" s="197">
        <v>98.28</v>
      </c>
      <c r="F8" s="198"/>
      <c r="G8" s="185"/>
      <c r="H8" s="185"/>
      <c r="I8" s="186">
        <f>I5+I7</f>
        <v>8305.2479999999996</v>
      </c>
      <c r="J8" s="194">
        <v>22</v>
      </c>
      <c r="K8" s="195">
        <v>92.97</v>
      </c>
    </row>
    <row r="9" spans="1:11" s="181" customFormat="1" x14ac:dyDescent="0.35">
      <c r="A9" s="189" t="s">
        <v>159</v>
      </c>
      <c r="B9" s="189"/>
      <c r="C9" s="187"/>
      <c r="D9" s="196">
        <v>45</v>
      </c>
      <c r="E9" s="197">
        <v>97.74</v>
      </c>
      <c r="F9" s="198"/>
      <c r="I9" s="198"/>
      <c r="K9" s="198"/>
    </row>
    <row r="10" spans="1:11" s="181" customFormat="1" x14ac:dyDescent="0.35">
      <c r="C10" s="198"/>
      <c r="E10" s="198"/>
      <c r="F10" s="198"/>
      <c r="I10" s="198"/>
      <c r="K10" s="198"/>
    </row>
    <row r="12" spans="1:11" x14ac:dyDescent="0.35">
      <c r="A12" s="188" t="s">
        <v>139</v>
      </c>
      <c r="B12" s="188"/>
      <c r="C12" s="191" t="s">
        <v>157</v>
      </c>
      <c r="D12" s="191"/>
      <c r="E12" s="191">
        <v>730</v>
      </c>
      <c r="F12" s="188"/>
      <c r="G12" s="188" t="s">
        <v>140</v>
      </c>
      <c r="H12" s="188"/>
      <c r="I12" s="188"/>
      <c r="J12" s="188"/>
      <c r="K12" s="188"/>
    </row>
    <row r="14" spans="1:11" ht="93" x14ac:dyDescent="0.35">
      <c r="A14" s="182" t="s">
        <v>151</v>
      </c>
      <c r="B14" s="183" t="s">
        <v>118</v>
      </c>
      <c r="C14" s="183" t="s">
        <v>155</v>
      </c>
      <c r="D14" s="183" t="s">
        <v>135</v>
      </c>
      <c r="E14" s="183" t="s">
        <v>137</v>
      </c>
      <c r="F14" s="192"/>
      <c r="G14" s="182" t="s">
        <v>151</v>
      </c>
      <c r="H14" s="183" t="s">
        <v>118</v>
      </c>
      <c r="I14" s="183" t="s">
        <v>156</v>
      </c>
      <c r="J14" s="183" t="s">
        <v>136</v>
      </c>
      <c r="K14" s="183" t="s">
        <v>138</v>
      </c>
    </row>
    <row r="15" spans="1:11" x14ac:dyDescent="0.35">
      <c r="A15" s="182"/>
      <c r="B15" s="182"/>
      <c r="C15" s="182" t="s">
        <v>72</v>
      </c>
      <c r="D15" s="182" t="s">
        <v>72</v>
      </c>
      <c r="E15" s="182" t="s">
        <v>72</v>
      </c>
      <c r="F15" s="193"/>
      <c r="G15" s="182"/>
      <c r="H15" s="182"/>
      <c r="I15" s="182" t="s">
        <v>72</v>
      </c>
      <c r="J15" s="182" t="s">
        <v>72</v>
      </c>
      <c r="K15" s="182" t="s">
        <v>72</v>
      </c>
    </row>
    <row r="16" spans="1:11" x14ac:dyDescent="0.35">
      <c r="A16" s="165" t="s">
        <v>96</v>
      </c>
      <c r="B16" s="165">
        <v>730</v>
      </c>
      <c r="C16" s="165">
        <v>30053.13</v>
      </c>
      <c r="D16" s="165"/>
      <c r="E16" s="184"/>
      <c r="F16" s="178"/>
      <c r="G16" s="165" t="s">
        <v>153</v>
      </c>
      <c r="H16" s="165">
        <v>876</v>
      </c>
      <c r="I16" s="165">
        <v>7008</v>
      </c>
      <c r="J16" s="165"/>
      <c r="K16" s="184"/>
    </row>
    <row r="17" spans="1:11" x14ac:dyDescent="0.35">
      <c r="A17" s="165" t="s">
        <v>152</v>
      </c>
      <c r="B17" s="165">
        <v>817.65</v>
      </c>
      <c r="C17" s="165">
        <v>790.07</v>
      </c>
      <c r="D17" s="165"/>
      <c r="E17" s="184"/>
      <c r="F17" s="178"/>
      <c r="G17" s="165"/>
      <c r="H17" s="165"/>
      <c r="I17" s="165"/>
      <c r="J17" s="165"/>
      <c r="K17" s="184"/>
    </row>
    <row r="18" spans="1:11" x14ac:dyDescent="0.35">
      <c r="A18" s="165" t="s">
        <v>154</v>
      </c>
      <c r="B18" s="165"/>
      <c r="C18" s="184">
        <f>(C16+C17)*0.2359</f>
        <v>7275.9108800000004</v>
      </c>
      <c r="D18" s="165"/>
      <c r="E18" s="184"/>
      <c r="F18" s="178"/>
      <c r="G18" s="165" t="s">
        <v>154</v>
      </c>
      <c r="H18" s="165"/>
      <c r="I18" s="184">
        <f>I16*0.2359</f>
        <v>1653.1872000000001</v>
      </c>
      <c r="J18" s="165"/>
      <c r="K18" s="165"/>
    </row>
    <row r="19" spans="1:11" x14ac:dyDescent="0.35">
      <c r="A19" s="185"/>
      <c r="B19" s="185"/>
      <c r="C19" s="186">
        <f>SUM(C16:C18)</f>
        <v>38119.11088</v>
      </c>
      <c r="D19" s="196">
        <v>45</v>
      </c>
      <c r="E19" s="197">
        <v>99.73</v>
      </c>
      <c r="F19" s="198"/>
      <c r="G19" s="185"/>
      <c r="H19" s="185"/>
      <c r="I19" s="186">
        <f>I16+I18</f>
        <v>8661.1872000000003</v>
      </c>
      <c r="J19" s="194">
        <v>22</v>
      </c>
      <c r="K19" s="195">
        <v>93.29</v>
      </c>
    </row>
    <row r="20" spans="1:11" x14ac:dyDescent="0.35">
      <c r="A20" s="189" t="s">
        <v>159</v>
      </c>
      <c r="B20" s="189"/>
      <c r="C20" s="187"/>
      <c r="D20" s="196">
        <v>45</v>
      </c>
      <c r="E20" s="197">
        <v>99.19</v>
      </c>
      <c r="F20" s="198"/>
      <c r="G20" s="181"/>
      <c r="H20" s="181"/>
      <c r="I20" s="198"/>
      <c r="J20" s="180"/>
      <c r="K20" s="199"/>
    </row>
    <row r="21" spans="1:11" x14ac:dyDescent="0.35">
      <c r="A21" s="181"/>
      <c r="B21" s="181"/>
      <c r="C21" s="198"/>
      <c r="D21" s="181"/>
      <c r="E21" s="198"/>
      <c r="F21" s="198"/>
      <c r="G21" s="181"/>
      <c r="H21" s="181"/>
      <c r="I21" s="198"/>
      <c r="J21" s="180"/>
      <c r="K21" s="199"/>
    </row>
    <row r="23" spans="1:11" x14ac:dyDescent="0.35">
      <c r="A23" s="188" t="s">
        <v>139</v>
      </c>
      <c r="B23" s="188"/>
      <c r="C23" s="191" t="s">
        <v>157</v>
      </c>
      <c r="D23" s="191"/>
      <c r="E23" s="191">
        <v>750</v>
      </c>
      <c r="F23" s="188"/>
      <c r="G23" s="188" t="s">
        <v>140</v>
      </c>
      <c r="H23" s="188"/>
      <c r="I23" s="188"/>
      <c r="J23" s="188"/>
      <c r="K23" s="188"/>
    </row>
    <row r="25" spans="1:11" ht="93" x14ac:dyDescent="0.35">
      <c r="A25" s="182" t="s">
        <v>151</v>
      </c>
      <c r="B25" s="183" t="s">
        <v>118</v>
      </c>
      <c r="C25" s="183" t="s">
        <v>155</v>
      </c>
      <c r="D25" s="183" t="s">
        <v>135</v>
      </c>
      <c r="E25" s="183" t="s">
        <v>137</v>
      </c>
      <c r="F25" s="192"/>
      <c r="G25" s="182" t="s">
        <v>151</v>
      </c>
      <c r="H25" s="183" t="s">
        <v>118</v>
      </c>
      <c r="I25" s="183" t="s">
        <v>156</v>
      </c>
      <c r="J25" s="183" t="s">
        <v>136</v>
      </c>
      <c r="K25" s="183" t="s">
        <v>138</v>
      </c>
    </row>
    <row r="26" spans="1:11" x14ac:dyDescent="0.35">
      <c r="A26" s="182"/>
      <c r="B26" s="182"/>
      <c r="C26" s="182" t="s">
        <v>72</v>
      </c>
      <c r="D26" s="182" t="s">
        <v>72</v>
      </c>
      <c r="E26" s="182" t="s">
        <v>72</v>
      </c>
      <c r="F26" s="193"/>
      <c r="G26" s="182"/>
      <c r="H26" s="182"/>
      <c r="I26" s="182" t="s">
        <v>72</v>
      </c>
      <c r="J26" s="182" t="s">
        <v>72</v>
      </c>
      <c r="K26" s="182" t="s">
        <v>72</v>
      </c>
    </row>
    <row r="27" spans="1:11" x14ac:dyDescent="0.35">
      <c r="A27" s="165" t="s">
        <v>96</v>
      </c>
      <c r="B27" s="165">
        <v>750</v>
      </c>
      <c r="C27" s="165">
        <v>30881.51</v>
      </c>
      <c r="D27" s="165"/>
      <c r="E27" s="184"/>
      <c r="F27" s="178"/>
      <c r="G27" s="165" t="s">
        <v>153</v>
      </c>
      <c r="H27" s="165">
        <v>896.03</v>
      </c>
      <c r="I27" s="165">
        <f>H27*8</f>
        <v>7168.24</v>
      </c>
      <c r="J27" s="165"/>
      <c r="K27" s="184"/>
    </row>
    <row r="28" spans="1:11" x14ac:dyDescent="0.35">
      <c r="A28" s="165" t="s">
        <v>152</v>
      </c>
      <c r="B28" s="165">
        <v>832.03</v>
      </c>
      <c r="C28" s="165">
        <v>803.97</v>
      </c>
      <c r="D28" s="165"/>
      <c r="E28" s="184"/>
      <c r="F28" s="178"/>
      <c r="G28" s="165"/>
      <c r="H28" s="165"/>
      <c r="I28" s="165"/>
      <c r="J28" s="165"/>
      <c r="K28" s="184"/>
    </row>
    <row r="29" spans="1:11" x14ac:dyDescent="0.35">
      <c r="A29" s="165" t="s">
        <v>154</v>
      </c>
      <c r="B29" s="165"/>
      <c r="C29" s="184">
        <f>(C27+C28)*0.2359</f>
        <v>7474.6047319999998</v>
      </c>
      <c r="D29" s="165"/>
      <c r="E29" s="184"/>
      <c r="F29" s="178"/>
      <c r="G29" s="165" t="s">
        <v>154</v>
      </c>
      <c r="H29" s="165"/>
      <c r="I29" s="184">
        <f>I27*0.2359</f>
        <v>1690.9878159999998</v>
      </c>
      <c r="J29" s="165"/>
      <c r="K29" s="165"/>
    </row>
    <row r="30" spans="1:11" x14ac:dyDescent="0.35">
      <c r="A30" s="185"/>
      <c r="B30" s="185"/>
      <c r="C30" s="186">
        <f>SUM(C27:C29)</f>
        <v>39160.084732000003</v>
      </c>
      <c r="D30" s="196">
        <v>45</v>
      </c>
      <c r="E30" s="197">
        <v>100.68</v>
      </c>
      <c r="F30" s="198"/>
      <c r="G30" s="185"/>
      <c r="H30" s="185"/>
      <c r="I30" s="186">
        <f>I27+I29</f>
        <v>8859.2278159999987</v>
      </c>
      <c r="J30" s="194">
        <v>22</v>
      </c>
      <c r="K30" s="195">
        <v>93.47</v>
      </c>
    </row>
    <row r="31" spans="1:11" x14ac:dyDescent="0.35">
      <c r="A31" s="189" t="s">
        <v>159</v>
      </c>
      <c r="B31" s="189"/>
      <c r="C31" s="187"/>
      <c r="D31" s="196">
        <v>45</v>
      </c>
      <c r="E31" s="197">
        <v>100.14</v>
      </c>
    </row>
  </sheetData>
  <pageMargins left="0.7" right="0.7" top="0.75" bottom="0.75" header="0.3" footer="0.3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ADD7-988F-4576-9D82-9BDAC50153A4}">
  <sheetPr>
    <pageSetUpPr fitToPage="1"/>
  </sheetPr>
  <dimension ref="A1:U72"/>
  <sheetViews>
    <sheetView topLeftCell="A49" workbookViewId="0">
      <selection activeCell="A53" sqref="A53:XFD78"/>
    </sheetView>
  </sheetViews>
  <sheetFormatPr defaultRowHeight="15" x14ac:dyDescent="0.25"/>
  <cols>
    <col min="1" max="1" width="11.28515625" customWidth="1"/>
    <col min="2" max="2" width="9.85546875" customWidth="1"/>
    <col min="3" max="3" width="12.7109375" customWidth="1"/>
    <col min="4" max="4" width="13.7109375" customWidth="1"/>
    <col min="5" max="5" width="12.28515625" customWidth="1"/>
    <col min="6" max="6" width="13.7109375" customWidth="1"/>
    <col min="7" max="7" width="15.140625" customWidth="1"/>
    <col min="9" max="9" width="12.7109375" customWidth="1"/>
    <col min="10" max="10" width="13.7109375" customWidth="1"/>
    <col min="11" max="11" width="12.28515625" customWidth="1"/>
    <col min="12" max="12" width="13.7109375" customWidth="1"/>
    <col min="13" max="13" width="15.140625" customWidth="1"/>
    <col min="14" max="14" width="12.140625" customWidth="1"/>
    <col min="15" max="15" width="12.7109375" customWidth="1"/>
    <col min="16" max="40" width="0" hidden="1" customWidth="1"/>
  </cols>
  <sheetData>
    <row r="1" spans="1:21" ht="30.75" x14ac:dyDescent="0.3">
      <c r="A1" s="133" t="s">
        <v>87</v>
      </c>
      <c r="B1" s="134"/>
      <c r="I1" t="s">
        <v>88</v>
      </c>
      <c r="J1" s="93" t="s">
        <v>89</v>
      </c>
      <c r="K1" t="s">
        <v>90</v>
      </c>
    </row>
    <row r="2" spans="1:21" ht="18.75" x14ac:dyDescent="0.3">
      <c r="A2" s="135" t="s">
        <v>150</v>
      </c>
      <c r="I2" s="140">
        <v>700</v>
      </c>
      <c r="J2" s="132">
        <v>165.58330000000001</v>
      </c>
      <c r="K2" s="132">
        <f>ROUND(I2/J2,4)</f>
        <v>4.2275</v>
      </c>
    </row>
    <row r="3" spans="1:21" ht="15" customHeight="1" x14ac:dyDescent="0.3">
      <c r="A3" s="135"/>
      <c r="I3" s="135" t="s">
        <v>96</v>
      </c>
      <c r="J3" s="132"/>
      <c r="K3" s="132"/>
    </row>
    <row r="4" spans="1:21" ht="5.45" customHeight="1" x14ac:dyDescent="0.3">
      <c r="A4" s="135"/>
      <c r="I4" s="132"/>
      <c r="J4" s="132"/>
      <c r="K4" s="132"/>
    </row>
    <row r="5" spans="1:21" ht="90" x14ac:dyDescent="0.25">
      <c r="A5" s="123"/>
      <c r="B5" s="123"/>
      <c r="C5" s="131" t="s">
        <v>81</v>
      </c>
      <c r="D5" s="131" t="s">
        <v>82</v>
      </c>
      <c r="E5" s="131" t="s">
        <v>83</v>
      </c>
      <c r="F5" s="131" t="s">
        <v>84</v>
      </c>
      <c r="G5" s="131" t="s">
        <v>85</v>
      </c>
      <c r="I5" s="131" t="s">
        <v>91</v>
      </c>
      <c r="J5" s="131" t="s">
        <v>113</v>
      </c>
      <c r="K5" s="131" t="s">
        <v>93</v>
      </c>
      <c r="L5" s="131" t="s">
        <v>94</v>
      </c>
      <c r="M5" s="131" t="s">
        <v>95</v>
      </c>
      <c r="N5" s="137" t="s">
        <v>92</v>
      </c>
    </row>
    <row r="6" spans="1:21" x14ac:dyDescent="0.25">
      <c r="A6" s="123" t="s">
        <v>77</v>
      </c>
      <c r="B6" s="123">
        <v>31</v>
      </c>
      <c r="C6" s="123">
        <f>B6*24</f>
        <v>744</v>
      </c>
      <c r="D6" s="123">
        <v>176</v>
      </c>
      <c r="E6" s="123">
        <f>C6-(D6*4)</f>
        <v>40</v>
      </c>
      <c r="F6" s="123">
        <v>24</v>
      </c>
      <c r="G6" s="123">
        <f>B6*8</f>
        <v>248</v>
      </c>
      <c r="I6" s="123">
        <f>ROUND(C6*$K$2,2)</f>
        <v>3145.26</v>
      </c>
      <c r="J6" s="123"/>
      <c r="K6" s="123">
        <f t="shared" ref="K6:L9" si="0">ROUND(E6*$K$2,2)</f>
        <v>169.1</v>
      </c>
      <c r="L6" s="123">
        <f>ROUND(F6*$K$2,2)</f>
        <v>101.46</v>
      </c>
      <c r="M6" s="123">
        <f>ROUND(G6*$K$2/2,2)</f>
        <v>524.21</v>
      </c>
      <c r="N6" s="126">
        <f>SUM(I6:M6)</f>
        <v>3940.03</v>
      </c>
      <c r="O6" s="139">
        <v>1</v>
      </c>
      <c r="Q6">
        <v>11.6</v>
      </c>
      <c r="S6">
        <f>N6+N7+N8+N9+N13+N12</f>
        <v>23580.994999999999</v>
      </c>
      <c r="T6">
        <f>S6/6</f>
        <v>3930.165833333333</v>
      </c>
      <c r="U6">
        <f>T6/20*Q6</f>
        <v>2279.4961833333332</v>
      </c>
    </row>
    <row r="7" spans="1:21" x14ac:dyDescent="0.25">
      <c r="A7" s="123" t="s">
        <v>78</v>
      </c>
      <c r="B7" s="123">
        <v>28</v>
      </c>
      <c r="C7" s="123">
        <f>B7*24</f>
        <v>672</v>
      </c>
      <c r="D7" s="123">
        <v>160</v>
      </c>
      <c r="E7" s="123">
        <f>C7-(D7*4)</f>
        <v>32</v>
      </c>
      <c r="F7" s="123"/>
      <c r="G7" s="123">
        <f>B7*8</f>
        <v>224</v>
      </c>
      <c r="I7" s="123">
        <f>ROUND(C7*$K$2,2)</f>
        <v>2840.88</v>
      </c>
      <c r="J7" s="123"/>
      <c r="K7" s="123">
        <f t="shared" si="0"/>
        <v>135.28</v>
      </c>
      <c r="L7" s="123">
        <f t="shared" si="0"/>
        <v>0</v>
      </c>
      <c r="M7" s="123">
        <f>ROUND(G7*$K$2/2,2)</f>
        <v>473.48</v>
      </c>
      <c r="N7" s="126">
        <f t="shared" ref="N7:N13" si="1">SUM(I7:M7)</f>
        <v>3449.6400000000003</v>
      </c>
      <c r="O7" s="139">
        <v>1</v>
      </c>
    </row>
    <row r="8" spans="1:21" x14ac:dyDescent="0.25">
      <c r="A8" s="123" t="s">
        <v>79</v>
      </c>
      <c r="B8" s="123">
        <v>31</v>
      </c>
      <c r="C8" s="123">
        <f>B8*24</f>
        <v>744</v>
      </c>
      <c r="D8" s="123">
        <v>168</v>
      </c>
      <c r="E8" s="123">
        <f>C8-(D8*4)</f>
        <v>72</v>
      </c>
      <c r="F8" s="123"/>
      <c r="G8" s="123">
        <f>B8*8</f>
        <v>248</v>
      </c>
      <c r="I8" s="123">
        <f>ROUND(C8*$K$2,2)</f>
        <v>3145.26</v>
      </c>
      <c r="J8" s="123"/>
      <c r="K8" s="123">
        <f t="shared" si="0"/>
        <v>304.38</v>
      </c>
      <c r="L8" s="123">
        <f t="shared" si="0"/>
        <v>0</v>
      </c>
      <c r="M8" s="123">
        <f>ROUND(G8*$K$2/2,2)</f>
        <v>524.21</v>
      </c>
      <c r="N8" s="126">
        <f t="shared" si="1"/>
        <v>3973.8500000000004</v>
      </c>
      <c r="O8" s="139">
        <v>1</v>
      </c>
    </row>
    <row r="9" spans="1:21" x14ac:dyDescent="0.25">
      <c r="A9" s="123" t="s">
        <v>80</v>
      </c>
      <c r="B9" s="123">
        <v>30</v>
      </c>
      <c r="C9" s="123">
        <f>B9*24</f>
        <v>720</v>
      </c>
      <c r="D9" s="123">
        <v>158</v>
      </c>
      <c r="E9" s="123">
        <f>C9-(D9*4)</f>
        <v>88</v>
      </c>
      <c r="F9" s="123">
        <v>72</v>
      </c>
      <c r="G9" s="123">
        <f>B9*8</f>
        <v>240</v>
      </c>
      <c r="I9" s="123">
        <f>ROUND(C9*$K$2,2)</f>
        <v>3043.8</v>
      </c>
      <c r="J9" s="123"/>
      <c r="K9" s="123">
        <f t="shared" si="0"/>
        <v>372.02</v>
      </c>
      <c r="L9" s="123">
        <f t="shared" si="0"/>
        <v>304.38</v>
      </c>
      <c r="M9" s="123">
        <f>ROUND(G9*$K$2/2,2)</f>
        <v>507.3</v>
      </c>
      <c r="N9" s="126">
        <f>SUM(I9:M9)*0.9</f>
        <v>3804.75</v>
      </c>
      <c r="O9" s="139">
        <v>0.9</v>
      </c>
    </row>
    <row r="10" spans="1:21" x14ac:dyDescent="0.25">
      <c r="A10" s="136"/>
      <c r="B10" s="136"/>
      <c r="C10" s="136"/>
      <c r="D10" s="136"/>
      <c r="E10" s="136"/>
      <c r="F10" s="136"/>
      <c r="G10" s="136"/>
      <c r="I10" s="136"/>
      <c r="J10" s="152">
        <f>U6</f>
        <v>2279.4961833333332</v>
      </c>
      <c r="K10" s="136"/>
      <c r="L10" s="136"/>
      <c r="M10" s="136"/>
      <c r="N10" s="126">
        <f t="shared" si="1"/>
        <v>2279.4961833333332</v>
      </c>
      <c r="O10" s="139"/>
    </row>
    <row r="11" spans="1:21" x14ac:dyDescent="0.25">
      <c r="A11" s="129" t="s">
        <v>74</v>
      </c>
      <c r="B11" s="123">
        <v>31</v>
      </c>
      <c r="C11" s="123">
        <f>B11*24</f>
        <v>744</v>
      </c>
      <c r="D11" s="123">
        <v>184</v>
      </c>
      <c r="E11" s="123">
        <f>C11-(D11*4)</f>
        <v>8</v>
      </c>
      <c r="F11" s="123"/>
      <c r="G11" s="123">
        <f>B11*8</f>
        <v>248</v>
      </c>
      <c r="I11" s="123">
        <f>ROUND(C11*$K$2,2)</f>
        <v>3145.26</v>
      </c>
      <c r="J11" s="123"/>
      <c r="K11" s="129"/>
      <c r="L11" s="123">
        <f>ROUND(F11*$K$2,2)</f>
        <v>0</v>
      </c>
      <c r="M11" s="123">
        <f t="shared" ref="M11:M13" si="2">ROUND(G11*$K$2/2,2)</f>
        <v>524.21</v>
      </c>
      <c r="N11" s="126">
        <f>SUM(I11:M11)*0.8</f>
        <v>2935.5760000000005</v>
      </c>
      <c r="O11" s="139">
        <v>0.8</v>
      </c>
    </row>
    <row r="12" spans="1:21" x14ac:dyDescent="0.25">
      <c r="A12" s="129" t="s">
        <v>75</v>
      </c>
      <c r="B12" s="123">
        <v>30</v>
      </c>
      <c r="C12" s="123">
        <f t="shared" ref="C12:C13" si="3">B12*24</f>
        <v>720</v>
      </c>
      <c r="D12" s="123">
        <v>151</v>
      </c>
      <c r="E12" s="123">
        <f t="shared" ref="E12:E13" si="4">C12-(D12*4)</f>
        <v>116</v>
      </c>
      <c r="F12" s="123">
        <v>24</v>
      </c>
      <c r="G12" s="123">
        <f t="shared" ref="G12:G13" si="5">B12*8</f>
        <v>240</v>
      </c>
      <c r="I12" s="123">
        <f t="shared" ref="I12:I13" si="6">ROUND(C12*$K$2,2)</f>
        <v>3043.8</v>
      </c>
      <c r="J12" s="123"/>
      <c r="K12" s="123">
        <f>ROUND(E12*$K$2,2)</f>
        <v>490.39</v>
      </c>
      <c r="L12" s="123">
        <f t="shared" ref="K12:L13" si="7">ROUND(F12*$K$2,2)</f>
        <v>101.46</v>
      </c>
      <c r="M12" s="123">
        <f t="shared" si="2"/>
        <v>507.3</v>
      </c>
      <c r="N12" s="126">
        <f>SUM(I12:M12)*0.9</f>
        <v>3728.6549999999997</v>
      </c>
      <c r="O12" s="139">
        <v>0.9</v>
      </c>
    </row>
    <row r="13" spans="1:21" x14ac:dyDescent="0.25">
      <c r="A13" s="123" t="s">
        <v>76</v>
      </c>
      <c r="B13" s="123">
        <v>31</v>
      </c>
      <c r="C13" s="123">
        <f t="shared" si="3"/>
        <v>744</v>
      </c>
      <c r="D13" s="123">
        <v>150</v>
      </c>
      <c r="E13" s="123">
        <f t="shared" si="4"/>
        <v>144</v>
      </c>
      <c r="F13" s="123">
        <v>96</v>
      </c>
      <c r="G13" s="123">
        <f t="shared" si="5"/>
        <v>248</v>
      </c>
      <c r="I13" s="123">
        <f t="shared" si="6"/>
        <v>3145.26</v>
      </c>
      <c r="J13" s="123"/>
      <c r="K13" s="123">
        <f t="shared" si="7"/>
        <v>608.76</v>
      </c>
      <c r="L13" s="123">
        <f t="shared" si="7"/>
        <v>405.84</v>
      </c>
      <c r="M13" s="123">
        <f t="shared" si="2"/>
        <v>524.21</v>
      </c>
      <c r="N13" s="126">
        <f t="shared" si="1"/>
        <v>4684.0700000000006</v>
      </c>
      <c r="O13" s="139">
        <v>1</v>
      </c>
    </row>
    <row r="14" spans="1:21" x14ac:dyDescent="0.25">
      <c r="A14" s="136"/>
      <c r="B14" s="136"/>
      <c r="C14" s="138">
        <f>SUM(C11:C13)</f>
        <v>2208</v>
      </c>
      <c r="D14" s="138">
        <f>SUM(D11:D13)</f>
        <v>485</v>
      </c>
      <c r="E14" s="138">
        <f>SUM(E11:E13)</f>
        <v>268</v>
      </c>
      <c r="F14" s="138">
        <f>SUM(F11:F13)</f>
        <v>120</v>
      </c>
      <c r="G14" s="138">
        <f>SUM(G11:G13)</f>
        <v>736</v>
      </c>
      <c r="I14" s="138">
        <f>SUM(I11:I13)</f>
        <v>9334.32</v>
      </c>
      <c r="J14" s="138">
        <f>SUM(J11:J13)</f>
        <v>0</v>
      </c>
      <c r="K14" s="138">
        <f>SUM(K11:K13)</f>
        <v>1099.1500000000001</v>
      </c>
      <c r="L14" s="138">
        <f>SUM(L11:L13)</f>
        <v>507.29999999999995</v>
      </c>
      <c r="M14" s="138">
        <f>SUM(M11:M13)</f>
        <v>1555.72</v>
      </c>
      <c r="N14" s="144">
        <f>SUM(N6:N13)</f>
        <v>28796.067183333333</v>
      </c>
      <c r="P14" s="132"/>
    </row>
    <row r="15" spans="1:21" x14ac:dyDescent="0.25">
      <c r="C15" s="132"/>
      <c r="D15" s="132"/>
      <c r="E15" s="132"/>
      <c r="F15" s="132"/>
      <c r="G15" s="132"/>
      <c r="I15" s="132"/>
      <c r="J15" s="132"/>
      <c r="K15" s="132"/>
      <c r="L15" s="132"/>
      <c r="M15" s="132"/>
      <c r="N15" s="132"/>
      <c r="P15" s="132"/>
    </row>
    <row r="16" spans="1:21" x14ac:dyDescent="0.25">
      <c r="A16" t="s">
        <v>97</v>
      </c>
      <c r="C16" s="132" t="s">
        <v>133</v>
      </c>
      <c r="D16" s="132"/>
      <c r="E16" s="132">
        <v>780</v>
      </c>
      <c r="F16" s="128">
        <f>E16/165.5833*160</f>
        <v>753.69919551065834</v>
      </c>
      <c r="G16" s="132"/>
      <c r="I16" t="s">
        <v>97</v>
      </c>
      <c r="K16" s="132" t="s">
        <v>133</v>
      </c>
      <c r="L16" s="132"/>
      <c r="M16" s="132">
        <v>780</v>
      </c>
      <c r="N16" s="128">
        <f>M16/165.5833*160</f>
        <v>753.69919551065834</v>
      </c>
      <c r="O16" s="132"/>
      <c r="P16" s="132"/>
    </row>
    <row r="17" spans="1:21" x14ac:dyDescent="0.25">
      <c r="G17" t="s">
        <v>112</v>
      </c>
      <c r="N17" t="s">
        <v>112</v>
      </c>
    </row>
    <row r="18" spans="1:21" x14ac:dyDescent="0.25">
      <c r="A18" s="149" t="s">
        <v>147</v>
      </c>
      <c r="B18" s="149"/>
      <c r="C18" s="149"/>
      <c r="D18" s="149"/>
      <c r="E18" s="150">
        <v>840</v>
      </c>
      <c r="F18" s="149"/>
      <c r="G18" s="150">
        <f>E18*8</f>
        <v>6720</v>
      </c>
      <c r="I18" s="149" t="s">
        <v>147</v>
      </c>
      <c r="J18" s="149"/>
      <c r="K18" s="149"/>
      <c r="L18" s="149"/>
      <c r="M18" s="150">
        <v>840</v>
      </c>
      <c r="N18" s="149">
        <f>M18*8</f>
        <v>6720</v>
      </c>
      <c r="O18" s="132"/>
    </row>
    <row r="20" spans="1:21" ht="30.75" x14ac:dyDescent="0.3">
      <c r="A20" s="133" t="s">
        <v>87</v>
      </c>
      <c r="B20" s="134"/>
      <c r="I20" t="s">
        <v>88</v>
      </c>
      <c r="J20" s="93" t="s">
        <v>89</v>
      </c>
      <c r="K20" t="s">
        <v>90</v>
      </c>
    </row>
    <row r="21" spans="1:21" ht="18.75" x14ac:dyDescent="0.3">
      <c r="A21" s="135" t="s">
        <v>150</v>
      </c>
      <c r="I21" s="140">
        <v>730</v>
      </c>
      <c r="J21">
        <v>165.58330000000001</v>
      </c>
      <c r="K21">
        <f>ROUND(I21/J21,4)</f>
        <v>4.4086999999999996</v>
      </c>
      <c r="M21" s="134" t="s">
        <v>111</v>
      </c>
      <c r="N21" s="148">
        <v>4.2849999999999999E-2</v>
      </c>
    </row>
    <row r="22" spans="1:21" ht="18.75" x14ac:dyDescent="0.3">
      <c r="A22" s="135"/>
      <c r="I22" s="135" t="s">
        <v>96</v>
      </c>
      <c r="N22" s="179"/>
    </row>
    <row r="23" spans="1:21" ht="90" x14ac:dyDescent="0.25">
      <c r="A23" s="123"/>
      <c r="B23" s="123"/>
      <c r="C23" s="131" t="s">
        <v>81</v>
      </c>
      <c r="D23" s="131" t="s">
        <v>82</v>
      </c>
      <c r="E23" s="131" t="s">
        <v>83</v>
      </c>
      <c r="F23" s="131" t="s">
        <v>84</v>
      </c>
      <c r="G23" s="131" t="s">
        <v>85</v>
      </c>
      <c r="I23" s="131" t="s">
        <v>91</v>
      </c>
      <c r="J23" s="131" t="s">
        <v>113</v>
      </c>
      <c r="K23" s="131" t="s">
        <v>93</v>
      </c>
      <c r="L23" s="131" t="s">
        <v>94</v>
      </c>
      <c r="M23" s="131" t="s">
        <v>95</v>
      </c>
      <c r="N23" s="137" t="s">
        <v>92</v>
      </c>
    </row>
    <row r="24" spans="1:21" x14ac:dyDescent="0.25">
      <c r="A24" s="123" t="s">
        <v>77</v>
      </c>
      <c r="B24" s="123">
        <v>31</v>
      </c>
      <c r="C24" s="123">
        <f>B24*24</f>
        <v>744</v>
      </c>
      <c r="D24" s="123">
        <v>176</v>
      </c>
      <c r="E24" s="123">
        <f>C24-(D24*4)</f>
        <v>40</v>
      </c>
      <c r="F24" s="123">
        <v>24</v>
      </c>
      <c r="G24" s="123">
        <f>B24*8</f>
        <v>248</v>
      </c>
      <c r="I24" s="123">
        <f>ROUND(C24*$K$21,2)</f>
        <v>3280.07</v>
      </c>
      <c r="J24" s="123"/>
      <c r="K24" s="123">
        <f t="shared" ref="K24:L27" si="8">ROUND(E24*$K$21,2)</f>
        <v>176.35</v>
      </c>
      <c r="L24" s="123">
        <f t="shared" si="8"/>
        <v>105.81</v>
      </c>
      <c r="M24" s="123">
        <f>ROUND(G24*$K$21/2,2)</f>
        <v>546.67999999999995</v>
      </c>
      <c r="N24" s="123">
        <f>SUM(I24:M24)</f>
        <v>4108.91</v>
      </c>
      <c r="O24" s="139">
        <v>1</v>
      </c>
      <c r="Q24">
        <v>11.6</v>
      </c>
      <c r="S24">
        <f>N24+N25+N26+N27+N31+N30</f>
        <v>24591.728000000003</v>
      </c>
      <c r="T24">
        <f>S24/6</f>
        <v>4098.6213333333335</v>
      </c>
      <c r="U24">
        <f>T24/20*Q24</f>
        <v>2377.2003733333336</v>
      </c>
    </row>
    <row r="25" spans="1:21" x14ac:dyDescent="0.25">
      <c r="A25" s="123" t="s">
        <v>78</v>
      </c>
      <c r="B25" s="123">
        <v>28</v>
      </c>
      <c r="C25" s="123">
        <f>B25*24</f>
        <v>672</v>
      </c>
      <c r="D25" s="123">
        <v>160</v>
      </c>
      <c r="E25" s="123">
        <f>C25-(D25*4)</f>
        <v>32</v>
      </c>
      <c r="F25" s="123"/>
      <c r="G25" s="123">
        <f>B25*8</f>
        <v>224</v>
      </c>
      <c r="I25" s="123">
        <f>ROUND(C25*$K$21,2)</f>
        <v>2962.65</v>
      </c>
      <c r="J25" s="123"/>
      <c r="K25" s="123">
        <f>ROUND(E25*$K$21,2)</f>
        <v>141.08000000000001</v>
      </c>
      <c r="L25" s="123">
        <f t="shared" si="8"/>
        <v>0</v>
      </c>
      <c r="M25" s="123">
        <f>ROUND(G25*$K$21/2,2)</f>
        <v>493.77</v>
      </c>
      <c r="N25" s="123">
        <f t="shared" ref="N25:N31" si="9">SUM(I25:M25)</f>
        <v>3597.5</v>
      </c>
      <c r="O25" s="139">
        <v>1</v>
      </c>
    </row>
    <row r="26" spans="1:21" x14ac:dyDescent="0.25">
      <c r="A26" s="123" t="s">
        <v>79</v>
      </c>
      <c r="B26" s="123">
        <v>31</v>
      </c>
      <c r="C26" s="123">
        <f>B26*24</f>
        <v>744</v>
      </c>
      <c r="D26" s="123">
        <v>168</v>
      </c>
      <c r="E26" s="123">
        <f>C26-(D26*4)</f>
        <v>72</v>
      </c>
      <c r="F26" s="123"/>
      <c r="G26" s="123">
        <f>B26*8</f>
        <v>248</v>
      </c>
      <c r="I26" s="123">
        <f>ROUND(C26*$K$21,2)</f>
        <v>3280.07</v>
      </c>
      <c r="J26" s="123"/>
      <c r="K26" s="123">
        <f t="shared" si="8"/>
        <v>317.43</v>
      </c>
      <c r="L26" s="123">
        <f t="shared" si="8"/>
        <v>0</v>
      </c>
      <c r="M26" s="123">
        <f>ROUND(G26*$K$21/2,2)</f>
        <v>546.67999999999995</v>
      </c>
      <c r="N26" s="123">
        <f t="shared" si="9"/>
        <v>4144.18</v>
      </c>
      <c r="O26" s="139">
        <v>1</v>
      </c>
    </row>
    <row r="27" spans="1:21" x14ac:dyDescent="0.25">
      <c r="A27" s="123" t="s">
        <v>80</v>
      </c>
      <c r="B27" s="123">
        <v>30</v>
      </c>
      <c r="C27" s="123">
        <f>B27*24</f>
        <v>720</v>
      </c>
      <c r="D27" s="123">
        <v>158</v>
      </c>
      <c r="E27" s="123">
        <f>C27-(D27*4)</f>
        <v>88</v>
      </c>
      <c r="F27" s="123">
        <v>72</v>
      </c>
      <c r="G27" s="123">
        <f>B27*8</f>
        <v>240</v>
      </c>
      <c r="I27" s="123">
        <f>ROUND(C27*$K$21,2)</f>
        <v>3174.26</v>
      </c>
      <c r="J27" s="123"/>
      <c r="K27" s="123">
        <f t="shared" si="8"/>
        <v>387.97</v>
      </c>
      <c r="L27" s="123">
        <f t="shared" si="8"/>
        <v>317.43</v>
      </c>
      <c r="M27" s="123">
        <f>ROUND(G27*$K$21/2,2)</f>
        <v>529.04</v>
      </c>
      <c r="N27" s="123">
        <f>SUM(I27:M27)*0.9</f>
        <v>3967.8300000000008</v>
      </c>
      <c r="O27" s="139">
        <v>0.9</v>
      </c>
    </row>
    <row r="28" spans="1:21" x14ac:dyDescent="0.25">
      <c r="A28" s="136"/>
      <c r="B28" s="136"/>
      <c r="C28" s="136"/>
      <c r="D28" s="136"/>
      <c r="E28" s="136"/>
      <c r="F28" s="136"/>
      <c r="G28" s="136"/>
      <c r="I28" s="136"/>
      <c r="J28" s="136">
        <v>2400</v>
      </c>
      <c r="K28" s="136"/>
      <c r="L28" s="136"/>
      <c r="M28" s="136"/>
      <c r="N28" s="136">
        <f t="shared" si="9"/>
        <v>2400</v>
      </c>
      <c r="O28" s="139"/>
    </row>
    <row r="29" spans="1:21" x14ac:dyDescent="0.25">
      <c r="A29" s="123" t="s">
        <v>74</v>
      </c>
      <c r="B29" s="123">
        <v>31</v>
      </c>
      <c r="C29" s="123">
        <f>B29*24</f>
        <v>744</v>
      </c>
      <c r="D29" s="123">
        <v>184</v>
      </c>
      <c r="E29" s="123">
        <f>C29-(D29*4)</f>
        <v>8</v>
      </c>
      <c r="F29" s="123"/>
      <c r="G29" s="123">
        <f>B29*8</f>
        <v>248</v>
      </c>
      <c r="I29" s="123">
        <f>ROUND(C29*$K$21,2)</f>
        <v>3280.07</v>
      </c>
      <c r="J29" s="123"/>
      <c r="K29" s="123"/>
      <c r="L29" s="123">
        <f t="shared" ref="K29:L31" si="10">ROUND(F29*$K$21,2)</f>
        <v>0</v>
      </c>
      <c r="M29" s="123">
        <f>ROUND(G29*$K$21/2,2)</f>
        <v>546.67999999999995</v>
      </c>
      <c r="N29" s="123">
        <f>SUM(I29:M29)*0.8</f>
        <v>3061.4</v>
      </c>
      <c r="O29" s="139">
        <v>0.8</v>
      </c>
    </row>
    <row r="30" spans="1:21" x14ac:dyDescent="0.25">
      <c r="A30" s="123" t="s">
        <v>75</v>
      </c>
      <c r="B30" s="123">
        <v>30</v>
      </c>
      <c r="C30" s="123">
        <f t="shared" ref="C30:C31" si="11">B30*24</f>
        <v>720</v>
      </c>
      <c r="D30" s="123">
        <v>151</v>
      </c>
      <c r="E30" s="123">
        <f t="shared" ref="E30:E31" si="12">C30-(D30*4)</f>
        <v>116</v>
      </c>
      <c r="F30" s="123">
        <v>24</v>
      </c>
      <c r="G30" s="123">
        <f t="shared" ref="G30:G31" si="13">B30*8</f>
        <v>240</v>
      </c>
      <c r="I30" s="123">
        <f>ROUND(C30*$K$21,2)</f>
        <v>3174.26</v>
      </c>
      <c r="J30" s="123"/>
      <c r="K30" s="123">
        <f t="shared" si="10"/>
        <v>511.41</v>
      </c>
      <c r="L30" s="123">
        <f t="shared" si="10"/>
        <v>105.81</v>
      </c>
      <c r="M30" s="123">
        <f>ROUND(G30*$K$21/2,2)</f>
        <v>529.04</v>
      </c>
      <c r="N30" s="123">
        <f>SUM(I30:M30)*0.9</f>
        <v>3888.4680000000003</v>
      </c>
      <c r="O30" s="139">
        <v>0.9</v>
      </c>
    </row>
    <row r="31" spans="1:21" x14ac:dyDescent="0.25">
      <c r="A31" s="123" t="s">
        <v>76</v>
      </c>
      <c r="B31" s="123">
        <v>31</v>
      </c>
      <c r="C31" s="123">
        <f t="shared" si="11"/>
        <v>744</v>
      </c>
      <c r="D31" s="123">
        <v>150</v>
      </c>
      <c r="E31" s="123">
        <f t="shared" si="12"/>
        <v>144</v>
      </c>
      <c r="F31" s="123">
        <v>96</v>
      </c>
      <c r="G31" s="123">
        <f t="shared" si="13"/>
        <v>248</v>
      </c>
      <c r="I31" s="123">
        <f>ROUND(C31*$K$21,2)</f>
        <v>3280.07</v>
      </c>
      <c r="J31" s="123"/>
      <c r="K31" s="123">
        <f t="shared" si="10"/>
        <v>634.85</v>
      </c>
      <c r="L31" s="123">
        <f t="shared" si="10"/>
        <v>423.24</v>
      </c>
      <c r="M31" s="123">
        <f>ROUND(G31*$K$21/2,2)</f>
        <v>546.67999999999995</v>
      </c>
      <c r="N31" s="123">
        <f t="shared" si="9"/>
        <v>4884.84</v>
      </c>
      <c r="O31" s="139">
        <v>1</v>
      </c>
    </row>
    <row r="32" spans="1:21" x14ac:dyDescent="0.25">
      <c r="A32" s="136"/>
      <c r="B32" s="136"/>
      <c r="C32" s="138">
        <f>SUM(C29:C31)</f>
        <v>2208</v>
      </c>
      <c r="D32" s="138">
        <f>SUM(D29:D31)</f>
        <v>485</v>
      </c>
      <c r="E32" s="138">
        <f>SUM(E29:E31)</f>
        <v>268</v>
      </c>
      <c r="F32" s="138">
        <f>SUM(F29:F31)</f>
        <v>120</v>
      </c>
      <c r="G32" s="138">
        <f>SUM(G29:G31)</f>
        <v>736</v>
      </c>
      <c r="I32" s="138">
        <f>SUM(I29:I31)</f>
        <v>9734.4</v>
      </c>
      <c r="J32" s="138">
        <f>SUM(J29:J31)</f>
        <v>0</v>
      </c>
      <c r="K32" s="138">
        <f>SUM(K29:K31)</f>
        <v>1146.26</v>
      </c>
      <c r="L32" s="138">
        <f>SUM(L29:L31)</f>
        <v>529.04999999999995</v>
      </c>
      <c r="M32" s="138">
        <f>SUM(M29:M31)</f>
        <v>1622.3999999999996</v>
      </c>
      <c r="N32" s="138">
        <f>SUM(N24:N31)</f>
        <v>30053.128000000004</v>
      </c>
      <c r="P32" s="132"/>
    </row>
    <row r="34" spans="1:21" x14ac:dyDescent="0.25">
      <c r="A34" t="s">
        <v>97</v>
      </c>
      <c r="C34" s="132" t="s">
        <v>98</v>
      </c>
      <c r="D34" s="132"/>
      <c r="E34" s="128">
        <f>E16*1.04825</f>
        <v>817.63499999999988</v>
      </c>
      <c r="F34" s="128">
        <f>E34/165.5833*160</f>
        <v>790.0651816940474</v>
      </c>
      <c r="I34" t="s">
        <v>97</v>
      </c>
      <c r="K34" s="132" t="s">
        <v>98</v>
      </c>
      <c r="L34" s="132"/>
      <c r="M34" s="128">
        <f>M16*1.04825</f>
        <v>817.63499999999988</v>
      </c>
      <c r="N34" s="128">
        <f>M34/165.5833*160</f>
        <v>790.0651816940474</v>
      </c>
    </row>
    <row r="35" spans="1:21" x14ac:dyDescent="0.25">
      <c r="G35" t="s">
        <v>112</v>
      </c>
      <c r="O35" t="s">
        <v>112</v>
      </c>
    </row>
    <row r="36" spans="1:21" x14ac:dyDescent="0.25">
      <c r="A36" t="s">
        <v>101</v>
      </c>
      <c r="E36" s="132">
        <f>E18*1.04285</f>
        <v>875.99400000000003</v>
      </c>
      <c r="G36" s="151">
        <f>E36*8</f>
        <v>7007.9520000000002</v>
      </c>
      <c r="I36" t="s">
        <v>101</v>
      </c>
      <c r="M36" s="132">
        <f>M18*1.04285</f>
        <v>875.99400000000003</v>
      </c>
      <c r="O36" s="128">
        <f>M36*8</f>
        <v>7007.9520000000002</v>
      </c>
    </row>
    <row r="38" spans="1:21" ht="30.75" x14ac:dyDescent="0.3">
      <c r="A38" s="133" t="s">
        <v>87</v>
      </c>
      <c r="B38" s="134"/>
      <c r="I38" t="s">
        <v>88</v>
      </c>
      <c r="J38" s="93" t="s">
        <v>89</v>
      </c>
      <c r="K38" t="s">
        <v>90</v>
      </c>
    </row>
    <row r="39" spans="1:21" ht="18.75" x14ac:dyDescent="0.3">
      <c r="A39" s="135" t="s">
        <v>150</v>
      </c>
      <c r="I39" s="140">
        <v>750</v>
      </c>
      <c r="J39">
        <v>165.58330000000001</v>
      </c>
      <c r="K39">
        <f>ROUND(I39/J39,4)</f>
        <v>4.5293999999999999</v>
      </c>
      <c r="M39" s="134" t="s">
        <v>111</v>
      </c>
      <c r="N39" s="148">
        <v>6.6669999999999993E-2</v>
      </c>
    </row>
    <row r="40" spans="1:21" ht="18.75" x14ac:dyDescent="0.3">
      <c r="A40" s="135"/>
      <c r="I40" s="135" t="s">
        <v>96</v>
      </c>
      <c r="N40" s="179"/>
    </row>
    <row r="41" spans="1:21" ht="90" x14ac:dyDescent="0.25">
      <c r="A41" s="123"/>
      <c r="B41" s="123"/>
      <c r="C41" s="131" t="s">
        <v>81</v>
      </c>
      <c r="D41" s="131" t="s">
        <v>82</v>
      </c>
      <c r="E41" s="131" t="s">
        <v>83</v>
      </c>
      <c r="F41" s="131" t="s">
        <v>84</v>
      </c>
      <c r="G41" s="131" t="s">
        <v>85</v>
      </c>
      <c r="I41" s="131" t="s">
        <v>91</v>
      </c>
      <c r="J41" s="131" t="s">
        <v>113</v>
      </c>
      <c r="K41" s="131" t="s">
        <v>93</v>
      </c>
      <c r="L41" s="131" t="s">
        <v>94</v>
      </c>
      <c r="M41" s="131" t="s">
        <v>95</v>
      </c>
      <c r="N41" s="137" t="s">
        <v>92</v>
      </c>
    </row>
    <row r="42" spans="1:21" x14ac:dyDescent="0.25">
      <c r="A42" s="123" t="s">
        <v>77</v>
      </c>
      <c r="B42" s="123">
        <v>31</v>
      </c>
      <c r="C42" s="123">
        <f>B42*24</f>
        <v>744</v>
      </c>
      <c r="D42" s="123">
        <v>176</v>
      </c>
      <c r="E42" s="123">
        <f>C42-(D42*4)</f>
        <v>40</v>
      </c>
      <c r="F42" s="123">
        <v>24</v>
      </c>
      <c r="G42" s="123">
        <f>B42*8</f>
        <v>248</v>
      </c>
      <c r="I42" s="123">
        <f>ROUND(C42*$K$39,2)</f>
        <v>3369.87</v>
      </c>
      <c r="J42" s="123"/>
      <c r="K42" s="123">
        <f>ROUND(E42*$K$39,2)</f>
        <v>181.18</v>
      </c>
      <c r="L42" s="123">
        <f>ROUND(F42*$K$39,2)</f>
        <v>108.71</v>
      </c>
      <c r="M42" s="123">
        <f>ROUND(G42*$K$39/2,2)</f>
        <v>561.65</v>
      </c>
      <c r="N42" s="123">
        <f>SUM(I42:M42)</f>
        <v>4221.41</v>
      </c>
      <c r="O42" s="139">
        <v>1</v>
      </c>
      <c r="Q42">
        <v>11.6</v>
      </c>
      <c r="S42">
        <f>N42+N43+N44+N45+N49+N48</f>
        <v>25265.016999999996</v>
      </c>
      <c r="T42">
        <f>S42/6</f>
        <v>4210.836166666666</v>
      </c>
      <c r="U42">
        <f>T42/20*Q42</f>
        <v>2442.2849766666664</v>
      </c>
    </row>
    <row r="43" spans="1:21" x14ac:dyDescent="0.25">
      <c r="A43" s="123" t="s">
        <v>78</v>
      </c>
      <c r="B43" s="123">
        <v>28</v>
      </c>
      <c r="C43" s="123">
        <f>B43*24</f>
        <v>672</v>
      </c>
      <c r="D43" s="123">
        <v>160</v>
      </c>
      <c r="E43" s="123">
        <f>C43-(D43*4)</f>
        <v>32</v>
      </c>
      <c r="F43" s="123"/>
      <c r="G43" s="123">
        <f>B43*8</f>
        <v>224</v>
      </c>
      <c r="I43" s="123">
        <f t="shared" ref="I43:I49" si="14">ROUND(C43*$K$39,2)</f>
        <v>3043.76</v>
      </c>
      <c r="J43" s="123"/>
      <c r="K43" s="123">
        <f t="shared" ref="K43:L49" si="15">ROUND(E43*$K$39,2)</f>
        <v>144.94</v>
      </c>
      <c r="L43" s="123">
        <f t="shared" si="15"/>
        <v>0</v>
      </c>
      <c r="M43" s="123">
        <f t="shared" ref="M43:M49" si="16">ROUND(G43*$K$39/2,2)</f>
        <v>507.29</v>
      </c>
      <c r="N43" s="123">
        <f t="shared" ref="N43:N46" si="17">SUM(I43:M43)</f>
        <v>3695.9900000000002</v>
      </c>
      <c r="O43" s="139">
        <v>1</v>
      </c>
    </row>
    <row r="44" spans="1:21" x14ac:dyDescent="0.25">
      <c r="A44" s="123" t="s">
        <v>79</v>
      </c>
      <c r="B44" s="123">
        <v>31</v>
      </c>
      <c r="C44" s="123">
        <f>B44*24</f>
        <v>744</v>
      </c>
      <c r="D44" s="123">
        <v>168</v>
      </c>
      <c r="E44" s="123">
        <f>C44-(D44*4)</f>
        <v>72</v>
      </c>
      <c r="F44" s="123"/>
      <c r="G44" s="123">
        <f>B44*8</f>
        <v>248</v>
      </c>
      <c r="I44" s="123">
        <f t="shared" si="14"/>
        <v>3369.87</v>
      </c>
      <c r="J44" s="123"/>
      <c r="K44" s="123">
        <f t="shared" si="15"/>
        <v>326.12</v>
      </c>
      <c r="L44" s="123">
        <f t="shared" si="15"/>
        <v>0</v>
      </c>
      <c r="M44" s="123">
        <f t="shared" si="16"/>
        <v>561.65</v>
      </c>
      <c r="N44" s="123">
        <f t="shared" si="17"/>
        <v>4257.6399999999994</v>
      </c>
      <c r="O44" s="139">
        <v>1</v>
      </c>
    </row>
    <row r="45" spans="1:21" x14ac:dyDescent="0.25">
      <c r="A45" s="123" t="s">
        <v>80</v>
      </c>
      <c r="B45" s="123">
        <v>30</v>
      </c>
      <c r="C45" s="123">
        <f>B45*24</f>
        <v>720</v>
      </c>
      <c r="D45" s="123">
        <v>158</v>
      </c>
      <c r="E45" s="123">
        <f>C45-(D45*4)</f>
        <v>88</v>
      </c>
      <c r="F45" s="123">
        <v>72</v>
      </c>
      <c r="G45" s="123">
        <f>B45*8</f>
        <v>240</v>
      </c>
      <c r="I45" s="123">
        <f t="shared" si="14"/>
        <v>3261.17</v>
      </c>
      <c r="J45" s="123"/>
      <c r="K45" s="123">
        <f t="shared" si="15"/>
        <v>398.59</v>
      </c>
      <c r="L45" s="123">
        <f t="shared" si="15"/>
        <v>326.12</v>
      </c>
      <c r="M45" s="123">
        <f t="shared" si="16"/>
        <v>543.53</v>
      </c>
      <c r="N45" s="123">
        <f>SUM(I45:M45)*0.9</f>
        <v>4076.4690000000001</v>
      </c>
      <c r="O45" s="139">
        <v>0.9</v>
      </c>
    </row>
    <row r="46" spans="1:21" x14ac:dyDescent="0.25">
      <c r="A46" s="136"/>
      <c r="B46" s="136"/>
      <c r="C46" s="136"/>
      <c r="D46" s="136"/>
      <c r="E46" s="136"/>
      <c r="F46" s="136"/>
      <c r="G46" s="136"/>
      <c r="I46" s="136"/>
      <c r="J46" s="152">
        <f>U42</f>
        <v>2442.2849766666664</v>
      </c>
      <c r="K46" s="136"/>
      <c r="L46" s="136"/>
      <c r="M46" s="136"/>
      <c r="N46" s="152">
        <f t="shared" si="17"/>
        <v>2442.2849766666664</v>
      </c>
      <c r="O46" s="139"/>
    </row>
    <row r="47" spans="1:21" x14ac:dyDescent="0.25">
      <c r="A47" s="123" t="s">
        <v>74</v>
      </c>
      <c r="B47" s="123">
        <v>31</v>
      </c>
      <c r="C47" s="123">
        <f>B47*24</f>
        <v>744</v>
      </c>
      <c r="D47" s="123">
        <v>184</v>
      </c>
      <c r="E47" s="123">
        <f>C47-(D47*4)</f>
        <v>8</v>
      </c>
      <c r="F47" s="123"/>
      <c r="G47" s="123">
        <f>B47*8</f>
        <v>248</v>
      </c>
      <c r="I47" s="123">
        <f t="shared" si="14"/>
        <v>3369.87</v>
      </c>
      <c r="J47" s="123"/>
      <c r="K47" s="123">
        <f t="shared" si="15"/>
        <v>36.24</v>
      </c>
      <c r="L47" s="123">
        <f t="shared" si="15"/>
        <v>0</v>
      </c>
      <c r="M47" s="123">
        <f t="shared" si="16"/>
        <v>561.65</v>
      </c>
      <c r="N47" s="123">
        <f>SUM(I47:M47)*0.8</f>
        <v>3174.2080000000001</v>
      </c>
      <c r="O47" s="139">
        <v>0.8</v>
      </c>
    </row>
    <row r="48" spans="1:21" x14ac:dyDescent="0.25">
      <c r="A48" s="123" t="s">
        <v>75</v>
      </c>
      <c r="B48" s="123">
        <v>30</v>
      </c>
      <c r="C48" s="123">
        <f t="shared" ref="C48:C49" si="18">B48*24</f>
        <v>720</v>
      </c>
      <c r="D48" s="123">
        <v>151</v>
      </c>
      <c r="E48" s="123">
        <f t="shared" ref="E48:E49" si="19">C48-(D48*4)</f>
        <v>116</v>
      </c>
      <c r="F48" s="123">
        <v>24</v>
      </c>
      <c r="G48" s="123">
        <f t="shared" ref="G48:G49" si="20">B48*8</f>
        <v>240</v>
      </c>
      <c r="I48" s="123">
        <f t="shared" si="14"/>
        <v>3261.17</v>
      </c>
      <c r="J48" s="123"/>
      <c r="K48" s="123">
        <f t="shared" si="15"/>
        <v>525.41</v>
      </c>
      <c r="L48" s="123">
        <f t="shared" si="15"/>
        <v>108.71</v>
      </c>
      <c r="M48" s="123">
        <f t="shared" si="16"/>
        <v>543.53</v>
      </c>
      <c r="N48" s="123">
        <f>SUM(I48:M48)*0.9</f>
        <v>3994.9379999999996</v>
      </c>
      <c r="O48" s="139">
        <v>0.9</v>
      </c>
    </row>
    <row r="49" spans="1:21" x14ac:dyDescent="0.25">
      <c r="A49" s="123" t="s">
        <v>76</v>
      </c>
      <c r="B49" s="123">
        <v>31</v>
      </c>
      <c r="C49" s="123">
        <f t="shared" si="18"/>
        <v>744</v>
      </c>
      <c r="D49" s="123">
        <v>150</v>
      </c>
      <c r="E49" s="123">
        <f t="shared" si="19"/>
        <v>144</v>
      </c>
      <c r="F49" s="123">
        <v>96</v>
      </c>
      <c r="G49" s="123">
        <f t="shared" si="20"/>
        <v>248</v>
      </c>
      <c r="I49" s="123">
        <f t="shared" si="14"/>
        <v>3369.87</v>
      </c>
      <c r="J49" s="123"/>
      <c r="K49" s="123">
        <f t="shared" si="15"/>
        <v>652.23</v>
      </c>
      <c r="L49" s="123">
        <f t="shared" si="15"/>
        <v>434.82</v>
      </c>
      <c r="M49" s="123">
        <f t="shared" si="16"/>
        <v>561.65</v>
      </c>
      <c r="N49" s="123">
        <f t="shared" ref="N49" si="21">SUM(I49:M49)</f>
        <v>5018.57</v>
      </c>
      <c r="O49" s="139">
        <v>1</v>
      </c>
    </row>
    <row r="50" spans="1:21" x14ac:dyDescent="0.25">
      <c r="A50" s="136"/>
      <c r="B50" s="136"/>
      <c r="C50" s="138">
        <f>SUM(C47:C49)</f>
        <v>2208</v>
      </c>
      <c r="D50" s="138">
        <f>SUM(D47:D49)</f>
        <v>485</v>
      </c>
      <c r="E50" s="138">
        <f>SUM(E47:E49)</f>
        <v>268</v>
      </c>
      <c r="F50" s="138">
        <f>SUM(F47:F49)</f>
        <v>120</v>
      </c>
      <c r="G50" s="138">
        <f>SUM(G47:G49)</f>
        <v>736</v>
      </c>
      <c r="I50" s="138">
        <f>SUM(I47:I49)</f>
        <v>10000.91</v>
      </c>
      <c r="J50" s="138">
        <f>SUM(J47:J49)</f>
        <v>0</v>
      </c>
      <c r="K50" s="138">
        <f>SUM(K47:K49)</f>
        <v>1213.8800000000001</v>
      </c>
      <c r="L50" s="138">
        <f>SUM(L47:L49)</f>
        <v>543.53</v>
      </c>
      <c r="M50" s="138">
        <f>SUM(M47:M49)</f>
        <v>1666.83</v>
      </c>
      <c r="N50" s="138">
        <f>SUM(N42:N49)</f>
        <v>30881.509976666661</v>
      </c>
      <c r="P50" s="132"/>
    </row>
    <row r="52" spans="1:21" x14ac:dyDescent="0.25">
      <c r="A52" t="s">
        <v>97</v>
      </c>
      <c r="C52" s="132" t="s">
        <v>98</v>
      </c>
      <c r="D52" s="132"/>
      <c r="E52" s="128">
        <f>E16*1.0667</f>
        <v>832.02599999999995</v>
      </c>
      <c r="F52" s="128">
        <f>E52/165.5833*160</f>
        <v>803.97093185121912</v>
      </c>
      <c r="I52" t="s">
        <v>97</v>
      </c>
      <c r="K52" s="132" t="s">
        <v>98</v>
      </c>
      <c r="L52" s="132"/>
      <c r="M52" s="128">
        <f>M16*1.0667</f>
        <v>832.02599999999995</v>
      </c>
      <c r="N52" s="128">
        <f>M52/165.5833*160</f>
        <v>803.97093185121912</v>
      </c>
    </row>
    <row r="53" spans="1:21" x14ac:dyDescent="0.25">
      <c r="G53" t="s">
        <v>112</v>
      </c>
      <c r="O53" t="s">
        <v>112</v>
      </c>
    </row>
    <row r="54" spans="1:21" x14ac:dyDescent="0.25">
      <c r="A54" t="s">
        <v>101</v>
      </c>
      <c r="E54" s="128">
        <f>E18*1.0667</f>
        <v>896.02800000000002</v>
      </c>
      <c r="G54" s="151">
        <f>E54*8</f>
        <v>7168.2240000000002</v>
      </c>
      <c r="I54" t="s">
        <v>101</v>
      </c>
      <c r="M54" s="128">
        <f>M18*1.0667</f>
        <v>896.02800000000002</v>
      </c>
      <c r="O54" s="128">
        <f>M54*8</f>
        <v>7168.2240000000002</v>
      </c>
    </row>
    <row r="56" spans="1:21" ht="30.75" x14ac:dyDescent="0.3">
      <c r="A56" s="133" t="s">
        <v>87</v>
      </c>
      <c r="B56" s="134"/>
      <c r="I56" t="s">
        <v>88</v>
      </c>
      <c r="J56" s="93" t="s">
        <v>89</v>
      </c>
      <c r="K56" t="s">
        <v>90</v>
      </c>
    </row>
    <row r="57" spans="1:21" ht="18.75" x14ac:dyDescent="0.3">
      <c r="A57" s="135" t="s">
        <v>150</v>
      </c>
      <c r="I57" s="140">
        <v>810</v>
      </c>
      <c r="J57">
        <v>165.58330000000001</v>
      </c>
      <c r="K57">
        <f>ROUND(I57/J57,4)</f>
        <v>4.8917999999999999</v>
      </c>
      <c r="M57" s="134" t="s">
        <v>111</v>
      </c>
      <c r="N57" s="148">
        <v>0.15714</v>
      </c>
    </row>
    <row r="58" spans="1:21" ht="18.75" x14ac:dyDescent="0.3">
      <c r="A58" s="135"/>
      <c r="I58" s="135" t="s">
        <v>96</v>
      </c>
      <c r="N58" s="179"/>
    </row>
    <row r="59" spans="1:21" ht="90" x14ac:dyDescent="0.25">
      <c r="A59" s="123"/>
      <c r="B59" s="123"/>
      <c r="C59" s="131" t="s">
        <v>81</v>
      </c>
      <c r="D59" s="131" t="s">
        <v>82</v>
      </c>
      <c r="E59" s="131" t="s">
        <v>83</v>
      </c>
      <c r="F59" s="131" t="s">
        <v>84</v>
      </c>
      <c r="G59" s="131" t="s">
        <v>85</v>
      </c>
      <c r="I59" s="131" t="s">
        <v>91</v>
      </c>
      <c r="J59" s="131" t="s">
        <v>113</v>
      </c>
      <c r="K59" s="131" t="s">
        <v>93</v>
      </c>
      <c r="L59" s="131" t="s">
        <v>94</v>
      </c>
      <c r="M59" s="131" t="s">
        <v>95</v>
      </c>
      <c r="N59" s="137" t="s">
        <v>92</v>
      </c>
    </row>
    <row r="60" spans="1:21" x14ac:dyDescent="0.25">
      <c r="A60" s="123" t="s">
        <v>77</v>
      </c>
      <c r="B60" s="123">
        <v>31</v>
      </c>
      <c r="C60" s="123">
        <f>B60*24</f>
        <v>744</v>
      </c>
      <c r="D60" s="123">
        <v>176</v>
      </c>
      <c r="E60" s="123">
        <f>C60-(D60*4)</f>
        <v>40</v>
      </c>
      <c r="F60" s="123">
        <v>24</v>
      </c>
      <c r="G60" s="123">
        <f>B60*8</f>
        <v>248</v>
      </c>
      <c r="I60" s="123">
        <f>ROUND(C60*$K$57,2)</f>
        <v>3639.5</v>
      </c>
      <c r="J60" s="123"/>
      <c r="K60" s="123">
        <f>ROUND(E60*$K$57,2)</f>
        <v>195.67</v>
      </c>
      <c r="L60" s="123">
        <f>ROUND(F60*$K$57,2)</f>
        <v>117.4</v>
      </c>
      <c r="M60" s="123">
        <f>ROUND(G60*$K$57/2,2)</f>
        <v>606.58000000000004</v>
      </c>
      <c r="N60" s="123">
        <f>SUM(I60:M60)</f>
        <v>4559.1500000000005</v>
      </c>
      <c r="O60" s="139">
        <v>1</v>
      </c>
      <c r="Q60">
        <v>11.6</v>
      </c>
      <c r="S60">
        <f>N60+N61+N62+N63+N67+N66</f>
        <v>27775.643</v>
      </c>
      <c r="T60">
        <f>S60/6</f>
        <v>4629.2738333333336</v>
      </c>
      <c r="U60">
        <f>T60/20*Q60</f>
        <v>2684.9788233333334</v>
      </c>
    </row>
    <row r="61" spans="1:21" x14ac:dyDescent="0.25">
      <c r="A61" s="123" t="s">
        <v>78</v>
      </c>
      <c r="B61" s="123">
        <v>28</v>
      </c>
      <c r="C61" s="123">
        <f>B61*24</f>
        <v>672</v>
      </c>
      <c r="D61" s="123">
        <v>160</v>
      </c>
      <c r="E61" s="123">
        <f>C61-(D61*4)</f>
        <v>32</v>
      </c>
      <c r="F61" s="123"/>
      <c r="G61" s="123">
        <f>B61*8</f>
        <v>224</v>
      </c>
      <c r="I61" s="123">
        <f t="shared" ref="I61:I66" si="22">ROUND(C61*$K$57,2)</f>
        <v>3287.29</v>
      </c>
      <c r="J61" s="123"/>
      <c r="K61" s="123">
        <f t="shared" ref="K61:L67" si="23">ROUND(E61*$K$57,2)</f>
        <v>156.54</v>
      </c>
      <c r="L61" s="123">
        <f t="shared" si="23"/>
        <v>0</v>
      </c>
      <c r="M61" s="123">
        <f t="shared" ref="M61:M67" si="24">ROUND(G61*$K$57/2,2)</f>
        <v>547.88</v>
      </c>
      <c r="N61" s="123">
        <f t="shared" ref="N61:N64" si="25">SUM(I61:M61)</f>
        <v>3991.71</v>
      </c>
      <c r="O61" s="139">
        <v>1</v>
      </c>
    </row>
    <row r="62" spans="1:21" x14ac:dyDescent="0.25">
      <c r="A62" s="123" t="s">
        <v>79</v>
      </c>
      <c r="B62" s="123">
        <v>31</v>
      </c>
      <c r="C62" s="123">
        <f>B62*24</f>
        <v>744</v>
      </c>
      <c r="D62" s="123">
        <v>168</v>
      </c>
      <c r="E62" s="123">
        <f>C62-(D62*4)</f>
        <v>72</v>
      </c>
      <c r="F62" s="123"/>
      <c r="G62" s="123">
        <f>B62*8</f>
        <v>248</v>
      </c>
      <c r="I62" s="123">
        <f t="shared" si="22"/>
        <v>3639.5</v>
      </c>
      <c r="J62" s="123"/>
      <c r="K62" s="123">
        <f t="shared" si="23"/>
        <v>352.21</v>
      </c>
      <c r="L62" s="123">
        <f t="shared" si="23"/>
        <v>0</v>
      </c>
      <c r="M62" s="123">
        <f t="shared" si="24"/>
        <v>606.58000000000004</v>
      </c>
      <c r="N62" s="123">
        <f t="shared" si="25"/>
        <v>4598.29</v>
      </c>
      <c r="O62" s="139">
        <v>1</v>
      </c>
    </row>
    <row r="63" spans="1:21" x14ac:dyDescent="0.25">
      <c r="A63" s="123" t="s">
        <v>80</v>
      </c>
      <c r="B63" s="123">
        <v>30</v>
      </c>
      <c r="C63" s="123">
        <f>B63*24</f>
        <v>720</v>
      </c>
      <c r="D63" s="123">
        <v>158</v>
      </c>
      <c r="E63" s="123">
        <f>C63-(D63*4)</f>
        <v>88</v>
      </c>
      <c r="F63" s="123">
        <v>72</v>
      </c>
      <c r="G63" s="123">
        <f>B63*8</f>
        <v>240</v>
      </c>
      <c r="I63" s="123">
        <f t="shared" si="22"/>
        <v>3522.1</v>
      </c>
      <c r="J63" s="123"/>
      <c r="K63" s="123">
        <f t="shared" si="23"/>
        <v>430.48</v>
      </c>
      <c r="L63" s="123">
        <f t="shared" si="23"/>
        <v>352.21</v>
      </c>
      <c r="M63" s="123">
        <f t="shared" si="24"/>
        <v>587.02</v>
      </c>
      <c r="N63" s="123">
        <f t="shared" si="25"/>
        <v>4891.8099999999995</v>
      </c>
      <c r="O63" s="139">
        <v>1</v>
      </c>
    </row>
    <row r="64" spans="1:21" x14ac:dyDescent="0.25">
      <c r="A64" s="136"/>
      <c r="B64" s="136"/>
      <c r="C64" s="136"/>
      <c r="D64" s="136"/>
      <c r="E64" s="136"/>
      <c r="F64" s="136"/>
      <c r="G64" s="136"/>
      <c r="I64" s="136">
        <f t="shared" si="22"/>
        <v>0</v>
      </c>
      <c r="J64" s="152">
        <f>U60</f>
        <v>2684.9788233333334</v>
      </c>
      <c r="K64" s="136">
        <f t="shared" si="23"/>
        <v>0</v>
      </c>
      <c r="L64" s="136">
        <f t="shared" si="23"/>
        <v>0</v>
      </c>
      <c r="M64" s="136">
        <f t="shared" si="24"/>
        <v>0</v>
      </c>
      <c r="N64" s="152">
        <f t="shared" si="25"/>
        <v>2684.9788233333334</v>
      </c>
      <c r="O64" s="139"/>
    </row>
    <row r="65" spans="1:16" x14ac:dyDescent="0.25">
      <c r="A65" s="123" t="s">
        <v>74</v>
      </c>
      <c r="B65" s="123">
        <v>31</v>
      </c>
      <c r="C65" s="123">
        <f>B65*24</f>
        <v>744</v>
      </c>
      <c r="D65" s="123">
        <v>184</v>
      </c>
      <c r="E65" s="123">
        <f>C65-(D65*4)</f>
        <v>8</v>
      </c>
      <c r="F65" s="123"/>
      <c r="G65" s="123">
        <f>B65*8</f>
        <v>248</v>
      </c>
      <c r="I65" s="123">
        <f t="shared" si="22"/>
        <v>3639.5</v>
      </c>
      <c r="J65" s="123"/>
      <c r="K65" s="123">
        <f t="shared" si="23"/>
        <v>39.130000000000003</v>
      </c>
      <c r="L65" s="123">
        <f t="shared" si="23"/>
        <v>0</v>
      </c>
      <c r="M65" s="123">
        <f t="shared" si="24"/>
        <v>606.58000000000004</v>
      </c>
      <c r="N65" s="123">
        <f>SUM(I65:M65)*0.8</f>
        <v>3428.1680000000001</v>
      </c>
      <c r="O65" s="139">
        <v>0.8</v>
      </c>
    </row>
    <row r="66" spans="1:16" x14ac:dyDescent="0.25">
      <c r="A66" s="123" t="s">
        <v>75</v>
      </c>
      <c r="B66" s="123">
        <v>30</v>
      </c>
      <c r="C66" s="123">
        <f t="shared" ref="C66:C67" si="26">B66*24</f>
        <v>720</v>
      </c>
      <c r="D66" s="123">
        <v>151</v>
      </c>
      <c r="E66" s="123">
        <f t="shared" ref="E66:E67" si="27">C66-(D66*4)</f>
        <v>116</v>
      </c>
      <c r="F66" s="123">
        <v>24</v>
      </c>
      <c r="G66" s="123">
        <f t="shared" ref="G66:G67" si="28">B66*8</f>
        <v>240</v>
      </c>
      <c r="I66" s="123">
        <f t="shared" si="22"/>
        <v>3522.1</v>
      </c>
      <c r="J66" s="123"/>
      <c r="K66" s="123">
        <f t="shared" si="23"/>
        <v>567.45000000000005</v>
      </c>
      <c r="L66" s="123">
        <f t="shared" si="23"/>
        <v>117.4</v>
      </c>
      <c r="M66" s="123">
        <f>ROUND(G66*$K$57/2,2)</f>
        <v>587.02</v>
      </c>
      <c r="N66" s="123">
        <f>SUM(I66:M66)*0.9</f>
        <v>4314.5729999999994</v>
      </c>
      <c r="O66" s="139">
        <v>0.9</v>
      </c>
    </row>
    <row r="67" spans="1:16" x14ac:dyDescent="0.25">
      <c r="A67" s="123" t="s">
        <v>76</v>
      </c>
      <c r="B67" s="123">
        <v>31</v>
      </c>
      <c r="C67" s="123">
        <f t="shared" si="26"/>
        <v>744</v>
      </c>
      <c r="D67" s="123">
        <v>150</v>
      </c>
      <c r="E67" s="123">
        <f t="shared" si="27"/>
        <v>144</v>
      </c>
      <c r="F67" s="123">
        <v>96</v>
      </c>
      <c r="G67" s="123">
        <f t="shared" si="28"/>
        <v>248</v>
      </c>
      <c r="I67" s="123">
        <f>ROUND(C67*$K$57,2)</f>
        <v>3639.5</v>
      </c>
      <c r="J67" s="123"/>
      <c r="K67" s="123">
        <f t="shared" si="23"/>
        <v>704.42</v>
      </c>
      <c r="L67" s="123">
        <f t="shared" si="23"/>
        <v>469.61</v>
      </c>
      <c r="M67" s="123">
        <f t="shared" si="24"/>
        <v>606.58000000000004</v>
      </c>
      <c r="N67" s="123">
        <f t="shared" ref="N67" si="29">SUM(I67:M67)</f>
        <v>5420.11</v>
      </c>
      <c r="O67" s="139">
        <v>1</v>
      </c>
    </row>
    <row r="68" spans="1:16" x14ac:dyDescent="0.25">
      <c r="A68" s="136"/>
      <c r="B68" s="136"/>
      <c r="C68" s="138">
        <f>SUM(C65:C67)</f>
        <v>2208</v>
      </c>
      <c r="D68" s="138">
        <f>SUM(D65:D67)</f>
        <v>485</v>
      </c>
      <c r="E68" s="138">
        <f>SUM(E65:E67)</f>
        <v>268</v>
      </c>
      <c r="F68" s="138">
        <f>SUM(F65:F67)</f>
        <v>120</v>
      </c>
      <c r="G68" s="138">
        <f>SUM(G65:G67)</f>
        <v>736</v>
      </c>
      <c r="I68" s="138">
        <f>SUM(I65:I67)</f>
        <v>10801.1</v>
      </c>
      <c r="J68" s="138">
        <f>SUM(J65:J67)</f>
        <v>0</v>
      </c>
      <c r="K68" s="138">
        <f>SUM(K65:K67)</f>
        <v>1311</v>
      </c>
      <c r="L68" s="138">
        <f>SUM(L65:L67)</f>
        <v>587.01</v>
      </c>
      <c r="M68" s="138">
        <f>SUM(M65:M67)</f>
        <v>1800.1799999999998</v>
      </c>
      <c r="N68" s="144">
        <f>SUM(N60:N67)</f>
        <v>33888.789823333333</v>
      </c>
      <c r="P68" s="132"/>
    </row>
    <row r="70" spans="1:16" x14ac:dyDescent="0.25">
      <c r="A70" t="s">
        <v>97</v>
      </c>
      <c r="C70" s="132" t="s">
        <v>98</v>
      </c>
      <c r="D70" s="132"/>
      <c r="E70" s="128">
        <f>E16*1.15714</f>
        <v>902.56920000000002</v>
      </c>
      <c r="F70" s="128">
        <f>E70/165.5833*160</f>
        <v>872.13548709320321</v>
      </c>
      <c r="I70" t="s">
        <v>97</v>
      </c>
      <c r="K70" s="132" t="s">
        <v>98</v>
      </c>
      <c r="L70" s="132"/>
      <c r="M70" s="128">
        <f>M16*1.15714</f>
        <v>902.56920000000002</v>
      </c>
      <c r="N70" s="128">
        <f>M70/165.5833*160</f>
        <v>872.13548709320321</v>
      </c>
    </row>
    <row r="71" spans="1:16" x14ac:dyDescent="0.25">
      <c r="G71" t="s">
        <v>112</v>
      </c>
      <c r="O71" t="s">
        <v>112</v>
      </c>
    </row>
    <row r="72" spans="1:16" x14ac:dyDescent="0.25">
      <c r="A72" t="s">
        <v>101</v>
      </c>
      <c r="E72" s="128">
        <f>E18*1.15714</f>
        <v>971.99760000000003</v>
      </c>
      <c r="G72" s="151">
        <f>E72*8</f>
        <v>7775.9808000000003</v>
      </c>
      <c r="I72" t="s">
        <v>101</v>
      </c>
      <c r="M72" s="128">
        <f>M18*1.15714</f>
        <v>971.99760000000003</v>
      </c>
      <c r="O72" s="128">
        <f>M72*8</f>
        <v>7775.9808000000003</v>
      </c>
    </row>
  </sheetData>
  <pageMargins left="0.48" right="0.25" top="0.41" bottom="0.36" header="0.3" footer="0.3"/>
  <pageSetup paperSize="9" scale="4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8A3A-65D2-4621-BC6B-A077CD1E8E08}">
  <sheetPr>
    <pageSetUpPr fitToPage="1"/>
  </sheetPr>
  <dimension ref="A1:S49"/>
  <sheetViews>
    <sheetView topLeftCell="A7" zoomScale="68" zoomScaleNormal="68" workbookViewId="0">
      <selection activeCell="K13" sqref="K13"/>
    </sheetView>
  </sheetViews>
  <sheetFormatPr defaultRowHeight="15" x14ac:dyDescent="0.25"/>
  <cols>
    <col min="1" max="1" width="19.28515625" customWidth="1"/>
    <col min="2" max="2" width="73.28515625" customWidth="1"/>
    <col min="3" max="3" width="27.140625" customWidth="1"/>
    <col min="4" max="4" width="26.28515625" customWidth="1"/>
    <col min="5" max="5" width="18.28515625" customWidth="1"/>
    <col min="6" max="6" width="65.42578125" hidden="1" customWidth="1"/>
    <col min="7" max="7" width="49.7109375" hidden="1" customWidth="1"/>
    <col min="8" max="8" width="14.85546875" hidden="1" customWidth="1"/>
    <col min="9" max="9" width="9.42578125" customWidth="1"/>
    <col min="10" max="10" width="22.42578125" customWidth="1"/>
    <col min="11" max="11" width="73.28515625" customWidth="1"/>
    <col min="12" max="12" width="36.28515625" customWidth="1"/>
    <col min="13" max="13" width="26.28515625" customWidth="1"/>
    <col min="14" max="14" width="18.7109375" customWidth="1"/>
    <col min="15" max="15" width="72.42578125" hidden="1" customWidth="1"/>
    <col min="16" max="16" width="49.7109375" hidden="1" customWidth="1"/>
    <col min="17" max="17" width="9.85546875" hidden="1" customWidth="1"/>
    <col min="18" max="19" width="12.28515625" hidden="1" customWidth="1"/>
  </cols>
  <sheetData>
    <row r="1" spans="1:17" ht="33" x14ac:dyDescent="0.45">
      <c r="A1" s="290" t="s">
        <v>0</v>
      </c>
      <c r="B1" s="290"/>
      <c r="C1" s="290"/>
      <c r="D1" s="290"/>
      <c r="E1" s="290"/>
      <c r="F1" s="290"/>
      <c r="G1" s="290"/>
      <c r="H1" s="290"/>
      <c r="J1" s="290" t="s">
        <v>0</v>
      </c>
      <c r="K1" s="290"/>
      <c r="L1" s="290"/>
      <c r="M1" s="290"/>
      <c r="N1" s="290"/>
      <c r="O1" s="290"/>
      <c r="P1" s="290"/>
      <c r="Q1" s="290"/>
    </row>
    <row r="2" spans="1:17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  <c r="J2" s="291" t="s">
        <v>1</v>
      </c>
      <c r="K2" s="291"/>
      <c r="L2" s="291"/>
      <c r="M2" s="291"/>
      <c r="N2" s="291"/>
      <c r="O2" s="291"/>
      <c r="P2" s="291"/>
      <c r="Q2" s="291"/>
    </row>
    <row r="3" spans="1:17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  <c r="J3" s="291" t="s">
        <v>2</v>
      </c>
      <c r="K3" s="291"/>
      <c r="L3" s="291"/>
      <c r="M3" s="291"/>
      <c r="N3" s="291"/>
      <c r="O3" s="291"/>
      <c r="P3" s="291"/>
      <c r="Q3" s="291"/>
    </row>
    <row r="4" spans="1:17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  <c r="J4" s="291" t="s">
        <v>3</v>
      </c>
      <c r="K4" s="291"/>
      <c r="L4" s="291"/>
      <c r="M4" s="291"/>
      <c r="N4" s="291"/>
      <c r="O4" s="291"/>
      <c r="P4" s="291"/>
      <c r="Q4" s="291"/>
    </row>
    <row r="5" spans="1:17" s="164" customFormat="1" ht="28.5" x14ac:dyDescent="0.45">
      <c r="A5" s="163"/>
      <c r="B5" s="339" t="s">
        <v>139</v>
      </c>
      <c r="C5" s="339"/>
      <c r="D5" s="339"/>
      <c r="E5" s="163"/>
      <c r="F5" s="163"/>
      <c r="G5" s="163"/>
      <c r="H5" s="163"/>
      <c r="J5" s="163"/>
      <c r="K5" s="339" t="s">
        <v>140</v>
      </c>
      <c r="L5" s="339"/>
      <c r="M5" s="339"/>
      <c r="N5" s="163"/>
      <c r="O5" s="163"/>
      <c r="P5" s="163"/>
      <c r="Q5" s="163"/>
    </row>
    <row r="6" spans="1:17" ht="16.5" thickBot="1" x14ac:dyDescent="0.3">
      <c r="A6" s="326"/>
      <c r="B6" s="326"/>
      <c r="C6" s="326"/>
      <c r="D6" s="326"/>
      <c r="E6" s="326"/>
      <c r="F6" s="292"/>
      <c r="G6" s="292"/>
      <c r="H6" s="292"/>
      <c r="J6" s="326"/>
      <c r="K6" s="326"/>
      <c r="L6" s="326"/>
      <c r="M6" s="326"/>
      <c r="N6" s="326"/>
      <c r="O6" s="326"/>
      <c r="P6" s="326"/>
      <c r="Q6" s="326"/>
    </row>
    <row r="7" spans="1:17" s="51" customFormat="1" ht="122.25" thickBot="1" x14ac:dyDescent="0.4">
      <c r="A7" s="101" t="s">
        <v>4</v>
      </c>
      <c r="B7" s="101" t="s">
        <v>5</v>
      </c>
      <c r="C7" s="101" t="s">
        <v>6</v>
      </c>
      <c r="D7" s="101" t="s">
        <v>7</v>
      </c>
      <c r="E7" s="101" t="s">
        <v>8</v>
      </c>
      <c r="F7" s="294" t="s">
        <v>9</v>
      </c>
      <c r="G7" s="294"/>
      <c r="H7" s="295"/>
      <c r="J7" s="101" t="s">
        <v>4</v>
      </c>
      <c r="K7" s="101" t="s">
        <v>5</v>
      </c>
      <c r="L7" s="101" t="s">
        <v>6</v>
      </c>
      <c r="M7" s="101" t="s">
        <v>7</v>
      </c>
      <c r="N7" s="101" t="s">
        <v>8</v>
      </c>
      <c r="O7" s="327" t="s">
        <v>9</v>
      </c>
      <c r="P7" s="327"/>
      <c r="Q7" s="327"/>
    </row>
    <row r="8" spans="1:17" s="93" customFormat="1" ht="22.9" customHeight="1" thickBot="1" x14ac:dyDescent="0.3">
      <c r="A8" s="328" t="s">
        <v>10</v>
      </c>
      <c r="B8" s="328"/>
      <c r="C8" s="328"/>
      <c r="D8" s="328"/>
      <c r="E8" s="328"/>
      <c r="F8" s="98"/>
      <c r="G8" s="94"/>
      <c r="H8" s="95"/>
      <c r="J8" s="328" t="s">
        <v>10</v>
      </c>
      <c r="K8" s="328"/>
      <c r="L8" s="328"/>
      <c r="M8" s="328"/>
      <c r="N8" s="328"/>
      <c r="O8" s="328"/>
      <c r="P8" s="328"/>
      <c r="Q8" s="328"/>
    </row>
    <row r="9" spans="1:17" ht="20.25" x14ac:dyDescent="0.25">
      <c r="A9" s="58">
        <v>1100</v>
      </c>
      <c r="B9" s="17" t="s">
        <v>11</v>
      </c>
      <c r="C9" s="5">
        <v>749.62</v>
      </c>
      <c r="D9" s="6">
        <f t="shared" ref="D9:D17" si="0">C9/$G$46</f>
        <v>0.68085376930063579</v>
      </c>
      <c r="E9" s="20">
        <f t="shared" ref="E9:E17" si="1">C9/$C$45</f>
        <v>6.5441858004041597E-3</v>
      </c>
      <c r="F9" s="299">
        <v>1013</v>
      </c>
      <c r="G9" s="300"/>
      <c r="H9" s="301"/>
      <c r="J9" s="58">
        <v>1100</v>
      </c>
      <c r="K9" s="17" t="s">
        <v>11</v>
      </c>
      <c r="L9" s="5">
        <v>749.62</v>
      </c>
      <c r="M9" s="108">
        <f>L9/$P$46</f>
        <v>0.68147272727272723</v>
      </c>
      <c r="N9" s="20">
        <f t="shared" ref="N9:N17" si="2">L9/$L$45</f>
        <v>7.2905637499096135E-3</v>
      </c>
      <c r="O9" s="282">
        <v>1013</v>
      </c>
      <c r="P9" s="282"/>
      <c r="Q9" s="282"/>
    </row>
    <row r="10" spans="1:17" ht="20.25" x14ac:dyDescent="0.25">
      <c r="A10" s="58">
        <v>1100</v>
      </c>
      <c r="B10" s="17" t="s">
        <v>12</v>
      </c>
      <c r="C10" s="5">
        <v>749.62</v>
      </c>
      <c r="D10" s="6">
        <f t="shared" si="0"/>
        <v>0.68085376930063579</v>
      </c>
      <c r="E10" s="20">
        <f t="shared" si="1"/>
        <v>6.5441858004041597E-3</v>
      </c>
      <c r="F10" s="281">
        <v>1013</v>
      </c>
      <c r="G10" s="282"/>
      <c r="H10" s="283"/>
      <c r="J10" s="58">
        <v>1100</v>
      </c>
      <c r="K10" s="17" t="s">
        <v>12</v>
      </c>
      <c r="L10" s="5">
        <v>749.62</v>
      </c>
      <c r="M10" s="108">
        <f>L10/$P$46</f>
        <v>0.68147272727272723</v>
      </c>
      <c r="N10" s="20">
        <f t="shared" si="2"/>
        <v>7.2905637499096135E-3</v>
      </c>
      <c r="O10" s="282">
        <v>1013</v>
      </c>
      <c r="P10" s="282"/>
      <c r="Q10" s="282"/>
    </row>
    <row r="11" spans="1:17" ht="37.5" x14ac:dyDescent="0.25">
      <c r="A11" s="102">
        <v>1100</v>
      </c>
      <c r="B11" s="84" t="s">
        <v>102</v>
      </c>
      <c r="C11" s="85">
        <v>33888.79</v>
      </c>
      <c r="D11" s="86">
        <f t="shared" si="0"/>
        <v>30.780009082652136</v>
      </c>
      <c r="E11" s="20">
        <f t="shared" si="1"/>
        <v>0.29584928138373906</v>
      </c>
      <c r="F11" s="302">
        <v>700</v>
      </c>
      <c r="G11" s="303"/>
      <c r="H11" s="304"/>
      <c r="J11" s="102">
        <v>1100</v>
      </c>
      <c r="K11" s="84" t="s">
        <v>103</v>
      </c>
      <c r="L11" s="91">
        <v>7168.22</v>
      </c>
      <c r="M11" s="124">
        <f>L11/$P$46</f>
        <v>6.516563636363637</v>
      </c>
      <c r="N11" s="20">
        <f t="shared" si="2"/>
        <v>6.9715809187824621E-2</v>
      </c>
      <c r="O11" s="309">
        <v>700</v>
      </c>
      <c r="P11" s="309"/>
      <c r="Q11" s="309"/>
    </row>
    <row r="12" spans="1:17" ht="37.5" x14ac:dyDescent="0.25">
      <c r="A12" s="58">
        <v>1100</v>
      </c>
      <c r="B12" s="17" t="s">
        <v>14</v>
      </c>
      <c r="C12" s="7">
        <v>1613.2</v>
      </c>
      <c r="D12" s="6">
        <f t="shared" si="0"/>
        <v>1.465213442325159</v>
      </c>
      <c r="E12" s="20">
        <f t="shared" si="1"/>
        <v>1.4083242887345575E-2</v>
      </c>
      <c r="F12" s="281">
        <v>1090</v>
      </c>
      <c r="G12" s="282"/>
      <c r="H12" s="283"/>
      <c r="J12" s="58">
        <v>1100</v>
      </c>
      <c r="K12" s="17" t="s">
        <v>14</v>
      </c>
      <c r="L12" s="7">
        <v>1613.2</v>
      </c>
      <c r="M12" s="108">
        <f>L12/$P$46</f>
        <v>1.4665454545454546</v>
      </c>
      <c r="N12" s="20">
        <f t="shared" si="2"/>
        <v>1.568946591787064E-2</v>
      </c>
      <c r="O12" s="282">
        <v>1090</v>
      </c>
      <c r="P12" s="282"/>
      <c r="Q12" s="282"/>
    </row>
    <row r="13" spans="1:17" ht="37.5" x14ac:dyDescent="0.25">
      <c r="A13" s="102">
        <v>1100</v>
      </c>
      <c r="B13" s="84" t="s">
        <v>68</v>
      </c>
      <c r="C13" s="89">
        <v>872.14</v>
      </c>
      <c r="D13" s="86">
        <f t="shared" si="0"/>
        <v>0.79213442325158945</v>
      </c>
      <c r="E13" s="20">
        <f t="shared" si="1"/>
        <v>7.6137859234872117E-3</v>
      </c>
      <c r="F13" s="281">
        <v>780</v>
      </c>
      <c r="G13" s="282"/>
      <c r="H13" s="283"/>
      <c r="J13" s="58"/>
      <c r="K13" s="17"/>
      <c r="L13" s="7"/>
      <c r="M13" s="108"/>
      <c r="N13" s="20">
        <f t="shared" si="2"/>
        <v>0</v>
      </c>
      <c r="O13" s="59"/>
      <c r="P13" s="59"/>
      <c r="Q13" s="59"/>
    </row>
    <row r="14" spans="1:17" ht="20.25" x14ac:dyDescent="0.25">
      <c r="A14" s="58">
        <v>1100</v>
      </c>
      <c r="B14" s="17" t="s">
        <v>16</v>
      </c>
      <c r="C14" s="7">
        <v>76.52</v>
      </c>
      <c r="D14" s="6">
        <f t="shared" si="0"/>
        <v>6.950045413260672E-2</v>
      </c>
      <c r="E14" s="20">
        <f t="shared" si="1"/>
        <v>6.6801992669209237E-4</v>
      </c>
      <c r="F14" s="281">
        <v>1726</v>
      </c>
      <c r="G14" s="282"/>
      <c r="H14" s="283"/>
      <c r="J14" s="58">
        <v>1100</v>
      </c>
      <c r="K14" s="17" t="s">
        <v>16</v>
      </c>
      <c r="L14" s="7">
        <v>76.52</v>
      </c>
      <c r="M14" s="108">
        <f>L14/$P$46</f>
        <v>6.9563636363636355E-2</v>
      </c>
      <c r="N14" s="20">
        <f t="shared" si="2"/>
        <v>7.4420898340903866E-4</v>
      </c>
      <c r="O14" s="282">
        <v>1726</v>
      </c>
      <c r="P14" s="282"/>
      <c r="Q14" s="282"/>
    </row>
    <row r="15" spans="1:17" ht="37.5" x14ac:dyDescent="0.25">
      <c r="A15" s="58">
        <v>1100</v>
      </c>
      <c r="B15" s="17" t="s">
        <v>17</v>
      </c>
      <c r="C15" s="7">
        <v>26.07</v>
      </c>
      <c r="D15" s="6">
        <f t="shared" si="0"/>
        <v>2.3678474114441416E-2</v>
      </c>
      <c r="E15" s="20">
        <f t="shared" si="1"/>
        <v>2.2759121130244182E-4</v>
      </c>
      <c r="F15" s="281">
        <v>1554</v>
      </c>
      <c r="G15" s="282"/>
      <c r="H15" s="283"/>
      <c r="J15" s="58">
        <v>1100</v>
      </c>
      <c r="K15" s="17" t="s">
        <v>17</v>
      </c>
      <c r="L15" s="7">
        <v>26.07</v>
      </c>
      <c r="M15" s="108">
        <f>L15/$P$46</f>
        <v>2.3699999999999999E-2</v>
      </c>
      <c r="N15" s="20">
        <f t="shared" si="2"/>
        <v>2.5354846050017828E-4</v>
      </c>
      <c r="O15" s="282">
        <v>1554</v>
      </c>
      <c r="P15" s="282"/>
      <c r="Q15" s="282"/>
    </row>
    <row r="16" spans="1:17" ht="20.25" x14ac:dyDescent="0.25">
      <c r="A16" s="58">
        <v>1100</v>
      </c>
      <c r="B16" s="17" t="s">
        <v>18</v>
      </c>
      <c r="C16" s="7">
        <v>28.95</v>
      </c>
      <c r="D16" s="6">
        <f t="shared" si="0"/>
        <v>2.6294277929155313E-2</v>
      </c>
      <c r="E16" s="20">
        <f t="shared" si="1"/>
        <v>2.5273362359822362E-4</v>
      </c>
      <c r="F16" s="281">
        <v>1726</v>
      </c>
      <c r="G16" s="282"/>
      <c r="H16" s="283"/>
      <c r="J16" s="58">
        <v>1100</v>
      </c>
      <c r="K16" s="17" t="s">
        <v>18</v>
      </c>
      <c r="L16" s="7">
        <v>28.95</v>
      </c>
      <c r="M16" s="108">
        <f>L16/$P$46</f>
        <v>2.6318181818181817E-2</v>
      </c>
      <c r="N16" s="20">
        <f t="shared" si="2"/>
        <v>2.8155841701113006E-4</v>
      </c>
      <c r="O16" s="282">
        <v>1726</v>
      </c>
      <c r="P16" s="282"/>
      <c r="Q16" s="282"/>
    </row>
    <row r="17" spans="1:19" ht="21.6" customHeight="1" x14ac:dyDescent="0.25">
      <c r="A17" s="102">
        <v>1200</v>
      </c>
      <c r="B17" s="84" t="s">
        <v>19</v>
      </c>
      <c r="C17" s="91">
        <f>SUM(C9:C16)*0.2359</f>
        <v>8965.3582689999967</v>
      </c>
      <c r="D17" s="86">
        <f t="shared" si="0"/>
        <v>8.1429230417801968</v>
      </c>
      <c r="E17" s="20">
        <f t="shared" si="1"/>
        <v>7.8267615964789886E-2</v>
      </c>
      <c r="F17" s="284"/>
      <c r="G17" s="285"/>
      <c r="H17" s="286"/>
      <c r="J17" s="102">
        <v>1200</v>
      </c>
      <c r="K17" s="84" t="s">
        <v>19</v>
      </c>
      <c r="L17" s="91">
        <f>SUM(L9:L16)*0.2359</f>
        <v>2456.2379800000008</v>
      </c>
      <c r="M17" s="124">
        <f>L17/$P$46</f>
        <v>2.2329436181818187</v>
      </c>
      <c r="N17" s="20">
        <f t="shared" si="2"/>
        <v>2.3888582986231983E-2</v>
      </c>
      <c r="O17" s="285"/>
      <c r="P17" s="285"/>
      <c r="Q17" s="285"/>
      <c r="S17" s="52"/>
    </row>
    <row r="18" spans="1:19" ht="20.25" x14ac:dyDescent="0.25">
      <c r="A18" s="319" t="s">
        <v>20</v>
      </c>
      <c r="B18" s="319"/>
      <c r="C18" s="103">
        <f>SUM(C9:C17)</f>
        <v>46970.268268999986</v>
      </c>
      <c r="D18" s="104">
        <f>SUM(D9:D17)</f>
        <v>42.661460734786559</v>
      </c>
      <c r="E18" s="105">
        <f>SUM(E9:E17)</f>
        <v>0.41005064252176282</v>
      </c>
      <c r="F18" s="311"/>
      <c r="G18" s="288"/>
      <c r="H18" s="289"/>
      <c r="J18" s="319" t="s">
        <v>20</v>
      </c>
      <c r="K18" s="319"/>
      <c r="L18" s="103">
        <f>SUM(L9:L17)</f>
        <v>12868.437980000002</v>
      </c>
      <c r="M18" s="103">
        <f>SUM(M9:M17)</f>
        <v>11.698579981818183</v>
      </c>
      <c r="N18" s="105">
        <f>SUM(N9:N17)</f>
        <v>0.12515430145266682</v>
      </c>
      <c r="O18" s="288"/>
      <c r="P18" s="288"/>
      <c r="Q18" s="288"/>
      <c r="R18" s="52">
        <f>SUM(C9:C17)</f>
        <v>46970.268268999986</v>
      </c>
      <c r="S18" s="52">
        <f>SUM(L9:L17)</f>
        <v>12868.437980000002</v>
      </c>
    </row>
    <row r="19" spans="1:19" ht="20.25" x14ac:dyDescent="0.25">
      <c r="A19" s="279">
        <v>2210</v>
      </c>
      <c r="B19" s="17" t="s">
        <v>21</v>
      </c>
      <c r="C19" s="5">
        <f>F19*H19</f>
        <v>60</v>
      </c>
      <c r="D19" s="6">
        <f t="shared" ref="D19:D30" si="3">C19/$G$46</f>
        <v>5.4495912806539509E-2</v>
      </c>
      <c r="E19" s="20">
        <f t="shared" ref="E19:E29" si="4">C19/$C$45</f>
        <v>5.2380025616212151E-4</v>
      </c>
      <c r="F19" s="262">
        <v>5</v>
      </c>
      <c r="G19" s="263"/>
      <c r="H19" s="14">
        <v>12</v>
      </c>
      <c r="J19" s="279">
        <v>2210</v>
      </c>
      <c r="K19" s="17" t="s">
        <v>21</v>
      </c>
      <c r="L19" s="5">
        <f>O19*Q19</f>
        <v>60</v>
      </c>
      <c r="M19" s="108">
        <f t="shared" ref="M19:M29" si="5">L19/$P$46</f>
        <v>5.4545454545454543E-2</v>
      </c>
      <c r="N19" s="20">
        <f t="shared" ref="N19:N29" si="6">L19/$L$45</f>
        <v>5.8354076064482915E-4</v>
      </c>
      <c r="O19" s="263">
        <v>5</v>
      </c>
      <c r="P19" s="263"/>
      <c r="Q19" s="109">
        <v>12</v>
      </c>
    </row>
    <row r="20" spans="1:19" ht="20.25" x14ac:dyDescent="0.25">
      <c r="A20" s="279"/>
      <c r="B20" s="15" t="s">
        <v>22</v>
      </c>
      <c r="C20" s="5">
        <v>540</v>
      </c>
      <c r="D20" s="6">
        <f t="shared" si="3"/>
        <v>0.49046321525885561</v>
      </c>
      <c r="E20" s="20">
        <f t="shared" si="4"/>
        <v>4.7142023054590936E-3</v>
      </c>
      <c r="F20" s="60">
        <v>16</v>
      </c>
      <c r="G20" s="16">
        <v>3</v>
      </c>
      <c r="H20" s="14">
        <v>12</v>
      </c>
      <c r="J20" s="279"/>
      <c r="K20" s="15" t="s">
        <v>22</v>
      </c>
      <c r="L20" s="5">
        <v>540</v>
      </c>
      <c r="M20" s="108">
        <f t="shared" si="5"/>
        <v>0.49090909090909091</v>
      </c>
      <c r="N20" s="20">
        <f t="shared" si="6"/>
        <v>5.251866845803462E-3</v>
      </c>
      <c r="O20" s="110">
        <v>16</v>
      </c>
      <c r="P20" s="16">
        <v>3</v>
      </c>
      <c r="Q20" s="109">
        <v>12</v>
      </c>
    </row>
    <row r="21" spans="1:19" ht="20.25" x14ac:dyDescent="0.25">
      <c r="A21" s="58">
        <v>2222</v>
      </c>
      <c r="B21" s="17" t="s">
        <v>23</v>
      </c>
      <c r="C21" s="5">
        <v>67.98</v>
      </c>
      <c r="D21" s="6">
        <f t="shared" si="3"/>
        <v>6.1743869209809267E-2</v>
      </c>
      <c r="E21" s="20">
        <f t="shared" si="4"/>
        <v>5.9346569023168371E-4</v>
      </c>
      <c r="F21" s="61">
        <v>8</v>
      </c>
      <c r="G21" s="264">
        <v>1.45</v>
      </c>
      <c r="H21" s="265"/>
      <c r="J21" s="58">
        <v>2222</v>
      </c>
      <c r="K21" s="17" t="s">
        <v>23</v>
      </c>
      <c r="L21" s="5">
        <v>67.98</v>
      </c>
      <c r="M21" s="108">
        <f t="shared" si="5"/>
        <v>6.1800000000000001E-2</v>
      </c>
      <c r="N21" s="20">
        <f t="shared" si="6"/>
        <v>6.611516818105914E-4</v>
      </c>
      <c r="O21" s="111">
        <v>8</v>
      </c>
      <c r="P21" s="264">
        <v>1.45</v>
      </c>
      <c r="Q21" s="264"/>
    </row>
    <row r="22" spans="1:19" ht="20.25" x14ac:dyDescent="0.25">
      <c r="A22" s="279">
        <v>2223</v>
      </c>
      <c r="B22" s="15" t="s">
        <v>24</v>
      </c>
      <c r="C22" s="5">
        <f>F22*G22</f>
        <v>3116.7929400000003</v>
      </c>
      <c r="D22" s="6">
        <f t="shared" si="3"/>
        <v>2.8308746049046323</v>
      </c>
      <c r="E22" s="20">
        <f t="shared" si="4"/>
        <v>2.7209615672938201E-2</v>
      </c>
      <c r="F22" s="87">
        <v>24762</v>
      </c>
      <c r="G22" s="266">
        <v>0.12587000000000001</v>
      </c>
      <c r="H22" s="267"/>
      <c r="J22" s="279">
        <v>2223</v>
      </c>
      <c r="K22" s="15" t="s">
        <v>24</v>
      </c>
      <c r="L22" s="5">
        <f>O22*P22</f>
        <v>3116.7929400000003</v>
      </c>
      <c r="M22" s="108">
        <f t="shared" si="5"/>
        <v>2.8334481272727277</v>
      </c>
      <c r="N22" s="20">
        <f t="shared" si="6"/>
        <v>3.0312928716333891E-2</v>
      </c>
      <c r="O22" s="112">
        <v>24762</v>
      </c>
      <c r="P22" s="266">
        <v>0.12587000000000001</v>
      </c>
      <c r="Q22" s="266"/>
    </row>
    <row r="23" spans="1:19" ht="24.6" customHeight="1" x14ac:dyDescent="0.25">
      <c r="A23" s="279"/>
      <c r="B23" s="15" t="s">
        <v>25</v>
      </c>
      <c r="C23" s="5">
        <f>F23*G23</f>
        <v>787.19999999999993</v>
      </c>
      <c r="D23" s="6">
        <f t="shared" si="3"/>
        <v>0.71498637602179826</v>
      </c>
      <c r="E23" s="20">
        <f t="shared" si="4"/>
        <v>6.872259360847034E-3</v>
      </c>
      <c r="F23" s="63">
        <v>12</v>
      </c>
      <c r="G23" s="268">
        <v>65.599999999999994</v>
      </c>
      <c r="H23" s="269"/>
      <c r="J23" s="279"/>
      <c r="K23" s="15" t="s">
        <v>25</v>
      </c>
      <c r="L23" s="5">
        <f>O23*P23</f>
        <v>787.19999999999993</v>
      </c>
      <c r="M23" s="108">
        <f t="shared" si="5"/>
        <v>0.71563636363636363</v>
      </c>
      <c r="N23" s="20">
        <f t="shared" si="6"/>
        <v>7.6560547796601574E-3</v>
      </c>
      <c r="O23" s="109">
        <v>12</v>
      </c>
      <c r="P23" s="268">
        <v>65.599999999999994</v>
      </c>
      <c r="Q23" s="268"/>
    </row>
    <row r="24" spans="1:19" ht="37.5" x14ac:dyDescent="0.25">
      <c r="A24" s="102">
        <v>2243</v>
      </c>
      <c r="B24" s="84" t="s">
        <v>142</v>
      </c>
      <c r="C24" s="91">
        <v>2163.33</v>
      </c>
      <c r="D24" s="86">
        <f t="shared" si="3"/>
        <v>1.9648773841961853</v>
      </c>
      <c r="E24" s="20">
        <f t="shared" si="4"/>
        <v>1.8885880136053374E-2</v>
      </c>
      <c r="F24" s="270" t="s">
        <v>27</v>
      </c>
      <c r="G24" s="271"/>
      <c r="H24" s="272"/>
      <c r="J24" s="102">
        <v>2243</v>
      </c>
      <c r="K24" s="84" t="s">
        <v>143</v>
      </c>
      <c r="L24" s="91">
        <v>2201</v>
      </c>
      <c r="M24" s="124">
        <f t="shared" si="5"/>
        <v>2.000909090909091</v>
      </c>
      <c r="N24" s="20">
        <f t="shared" si="6"/>
        <v>2.1406220236321147E-2</v>
      </c>
      <c r="O24" s="271" t="s">
        <v>27</v>
      </c>
      <c r="P24" s="271"/>
      <c r="Q24" s="271"/>
    </row>
    <row r="25" spans="1:19" ht="20.25" x14ac:dyDescent="0.25">
      <c r="A25" s="58">
        <v>2310</v>
      </c>
      <c r="B25" s="17" t="s">
        <v>28</v>
      </c>
      <c r="C25" s="5">
        <v>40</v>
      </c>
      <c r="D25" s="6">
        <f t="shared" si="3"/>
        <v>3.6330608537693009E-2</v>
      </c>
      <c r="E25" s="20">
        <f t="shared" si="4"/>
        <v>3.4920017077474773E-4</v>
      </c>
      <c r="F25" s="270" t="s">
        <v>29</v>
      </c>
      <c r="G25" s="271"/>
      <c r="H25" s="272"/>
      <c r="J25" s="58">
        <v>2310</v>
      </c>
      <c r="K25" s="17" t="s">
        <v>28</v>
      </c>
      <c r="L25" s="5">
        <v>40</v>
      </c>
      <c r="M25" s="108">
        <f t="shared" si="5"/>
        <v>3.6363636363636362E-2</v>
      </c>
      <c r="N25" s="20">
        <f t="shared" si="6"/>
        <v>3.8902717376321943E-4</v>
      </c>
      <c r="O25" s="271" t="s">
        <v>29</v>
      </c>
      <c r="P25" s="271"/>
      <c r="Q25" s="271"/>
    </row>
    <row r="26" spans="1:19" ht="41.25" x14ac:dyDescent="0.25">
      <c r="A26" s="102">
        <v>2321</v>
      </c>
      <c r="B26" s="84" t="s">
        <v>100</v>
      </c>
      <c r="C26" s="91">
        <f>F26*G26</f>
        <v>54000</v>
      </c>
      <c r="D26" s="86">
        <f t="shared" si="3"/>
        <v>49.04632152588556</v>
      </c>
      <c r="E26" s="20">
        <f t="shared" si="4"/>
        <v>0.47142023054590942</v>
      </c>
      <c r="F26" s="92">
        <v>1200</v>
      </c>
      <c r="G26" s="273">
        <v>45</v>
      </c>
      <c r="H26" s="274"/>
      <c r="J26" s="102">
        <v>2321</v>
      </c>
      <c r="K26" s="84" t="s">
        <v>99</v>
      </c>
      <c r="L26" s="91">
        <v>42262</v>
      </c>
      <c r="M26" s="124">
        <f t="shared" si="5"/>
        <v>38.42</v>
      </c>
      <c r="N26" s="20">
        <f t="shared" si="6"/>
        <v>0.41102666043952946</v>
      </c>
      <c r="O26" s="113">
        <v>1625</v>
      </c>
      <c r="P26" s="313">
        <v>25</v>
      </c>
      <c r="Q26" s="313"/>
    </row>
    <row r="27" spans="1:19" ht="20.25" x14ac:dyDescent="0.25">
      <c r="A27" s="102">
        <v>2322</v>
      </c>
      <c r="B27" s="84" t="s">
        <v>141</v>
      </c>
      <c r="C27" s="91">
        <v>500</v>
      </c>
      <c r="D27" s="86">
        <f t="shared" si="3"/>
        <v>0.45413260672116257</v>
      </c>
      <c r="E27" s="20">
        <f t="shared" si="4"/>
        <v>4.3650021346843459E-3</v>
      </c>
      <c r="F27" s="64" t="s">
        <v>32</v>
      </c>
      <c r="G27" s="18"/>
      <c r="H27" s="19"/>
      <c r="J27" s="102">
        <v>2233</v>
      </c>
      <c r="K27" s="84" t="s">
        <v>86</v>
      </c>
      <c r="L27" s="91">
        <v>2000</v>
      </c>
      <c r="M27" s="124">
        <f t="shared" si="5"/>
        <v>1.8181818181818181</v>
      </c>
      <c r="N27" s="20">
        <f t="shared" si="6"/>
        <v>1.9451358688160971E-2</v>
      </c>
      <c r="O27" s="114"/>
      <c r="P27" s="66"/>
      <c r="Q27" s="66"/>
    </row>
    <row r="28" spans="1:19" ht="37.5" x14ac:dyDescent="0.25">
      <c r="A28" s="102">
        <v>2350</v>
      </c>
      <c r="B28" s="84" t="s">
        <v>67</v>
      </c>
      <c r="C28" s="91">
        <v>250</v>
      </c>
      <c r="D28" s="86">
        <f t="shared" si="3"/>
        <v>0.22706630336058128</v>
      </c>
      <c r="E28" s="20">
        <f t="shared" si="4"/>
        <v>2.182501067342173E-3</v>
      </c>
      <c r="F28" s="275" t="s">
        <v>34</v>
      </c>
      <c r="G28" s="276"/>
      <c r="H28" s="277"/>
      <c r="J28" s="102">
        <v>2350</v>
      </c>
      <c r="K28" s="84" t="s">
        <v>33</v>
      </c>
      <c r="L28" s="91">
        <v>100</v>
      </c>
      <c r="M28" s="124">
        <f t="shared" si="5"/>
        <v>9.0909090909090912E-2</v>
      </c>
      <c r="N28" s="20">
        <f t="shared" si="6"/>
        <v>9.7256793440804858E-4</v>
      </c>
      <c r="O28" s="276" t="s">
        <v>56</v>
      </c>
      <c r="P28" s="276"/>
      <c r="Q28" s="276"/>
    </row>
    <row r="29" spans="1:19" ht="21.6" customHeight="1" x14ac:dyDescent="0.25">
      <c r="A29" s="58">
        <v>2515</v>
      </c>
      <c r="B29" s="17" t="s">
        <v>35</v>
      </c>
      <c r="C29" s="5">
        <v>627.19000000000005</v>
      </c>
      <c r="D29" s="6">
        <f t="shared" si="3"/>
        <v>0.56965485921889192</v>
      </c>
      <c r="E29" s="20">
        <f t="shared" si="4"/>
        <v>5.4753713777053511E-3</v>
      </c>
      <c r="F29" s="278"/>
      <c r="G29" s="279"/>
      <c r="H29" s="280"/>
      <c r="J29" s="58">
        <v>2515</v>
      </c>
      <c r="K29" s="17" t="s">
        <v>35</v>
      </c>
      <c r="L29" s="5">
        <v>627.19000000000005</v>
      </c>
      <c r="M29" s="108">
        <f t="shared" si="5"/>
        <v>0.57017272727272728</v>
      </c>
      <c r="N29" s="20">
        <f t="shared" si="6"/>
        <v>6.0998488278138398E-3</v>
      </c>
      <c r="O29" s="279"/>
      <c r="P29" s="279"/>
      <c r="Q29" s="279"/>
    </row>
    <row r="30" spans="1:19" ht="22.9" customHeight="1" thickBot="1" x14ac:dyDescent="0.3">
      <c r="A30" s="319" t="s">
        <v>36</v>
      </c>
      <c r="B30" s="319"/>
      <c r="C30" s="106">
        <f>SUM(C19:C29)</f>
        <v>62152.492940000004</v>
      </c>
      <c r="D30" s="104">
        <f t="shared" si="3"/>
        <v>56.450947266121709</v>
      </c>
      <c r="E30" s="105">
        <f>SUM(E19:E29)</f>
        <v>0.54259152871810767</v>
      </c>
      <c r="F30" s="329"/>
      <c r="G30" s="258"/>
      <c r="H30" s="259"/>
      <c r="J30" s="319" t="s">
        <v>36</v>
      </c>
      <c r="K30" s="319"/>
      <c r="L30" s="106">
        <f>SUM(L19:L29)</f>
        <v>51802.162940000002</v>
      </c>
      <c r="M30" s="106">
        <f>SUM(M19:M29)</f>
        <v>47.092875400000004</v>
      </c>
      <c r="N30" s="105">
        <f>SUM(N19:N29)</f>
        <v>0.50381122608424955</v>
      </c>
      <c r="O30" s="279"/>
      <c r="P30" s="279"/>
      <c r="Q30" s="279"/>
      <c r="R30" s="52">
        <f>SUM(C19:C29)</f>
        <v>62152.492940000004</v>
      </c>
      <c r="S30" s="52">
        <f>SUM(L19:L29)</f>
        <v>51802.162940000002</v>
      </c>
    </row>
    <row r="31" spans="1:19" ht="22.9" customHeight="1" thickBot="1" x14ac:dyDescent="0.3">
      <c r="A31" s="318" t="s">
        <v>37</v>
      </c>
      <c r="B31" s="318"/>
      <c r="C31" s="318"/>
      <c r="D31" s="318"/>
      <c r="E31" s="318"/>
      <c r="F31" s="96"/>
      <c r="G31" s="96"/>
      <c r="H31" s="97"/>
      <c r="J31" s="318" t="s">
        <v>37</v>
      </c>
      <c r="K31" s="318"/>
      <c r="L31" s="318"/>
      <c r="M31" s="318"/>
      <c r="N31" s="318"/>
      <c r="O31" s="318"/>
      <c r="P31" s="318"/>
      <c r="Q31" s="318"/>
    </row>
    <row r="32" spans="1:19" ht="42" customHeight="1" x14ac:dyDescent="0.3">
      <c r="A32" s="239" t="s">
        <v>38</v>
      </c>
      <c r="B32" s="239"/>
      <c r="C32" s="5">
        <v>334.92</v>
      </c>
      <c r="D32" s="6">
        <f t="shared" ref="D32:D44" si="7">C32/$G$46</f>
        <v>0.30419618528610354</v>
      </c>
      <c r="E32" s="20">
        <f t="shared" ref="E32:E43" si="8">C32/$C$45</f>
        <v>2.9238530298969626E-3</v>
      </c>
      <c r="F32" s="23"/>
      <c r="G32" s="24"/>
      <c r="H32" s="25"/>
      <c r="J32" s="239" t="s">
        <v>38</v>
      </c>
      <c r="K32" s="239"/>
      <c r="L32" s="5">
        <v>334.92</v>
      </c>
      <c r="M32" s="108">
        <f t="shared" ref="M32:M41" si="9">L32/$P$46</f>
        <v>0.30447272727272728</v>
      </c>
      <c r="N32" s="20">
        <f t="shared" ref="N32:N41" si="10">L32/$L$45</f>
        <v>3.2573245259194363E-3</v>
      </c>
      <c r="O32" s="58"/>
      <c r="P32" s="115"/>
      <c r="Q32" s="115"/>
    </row>
    <row r="33" spans="1:19" ht="40.9" customHeight="1" x14ac:dyDescent="0.3">
      <c r="A33" s="325" t="s">
        <v>144</v>
      </c>
      <c r="B33" s="325"/>
      <c r="C33" s="107">
        <v>3565.02</v>
      </c>
      <c r="D33" s="56">
        <f t="shared" si="7"/>
        <v>3.2379836512261582</v>
      </c>
      <c r="E33" s="20">
        <f t="shared" si="8"/>
        <v>3.1122639820384775E-2</v>
      </c>
      <c r="F33" s="27"/>
      <c r="G33" s="28"/>
      <c r="H33" s="29"/>
      <c r="J33" s="325" t="s">
        <v>58</v>
      </c>
      <c r="K33" s="325"/>
      <c r="L33" s="116">
        <v>31681.19</v>
      </c>
      <c r="M33" s="122">
        <f t="shared" si="9"/>
        <v>28.801081818181817</v>
      </c>
      <c r="N33" s="20">
        <f t="shared" si="10"/>
        <v>0.30812109517888919</v>
      </c>
      <c r="O33" s="58"/>
      <c r="P33" s="115"/>
      <c r="Q33" s="115"/>
    </row>
    <row r="34" spans="1:19" ht="39" customHeight="1" x14ac:dyDescent="0.3">
      <c r="A34" s="239" t="s">
        <v>39</v>
      </c>
      <c r="B34" s="239"/>
      <c r="C34" s="5">
        <v>93.24</v>
      </c>
      <c r="D34" s="6">
        <f t="shared" si="7"/>
        <v>8.4686648501362399E-2</v>
      </c>
      <c r="E34" s="20">
        <f t="shared" si="8"/>
        <v>8.139855980759369E-4</v>
      </c>
      <c r="F34" s="30"/>
      <c r="G34" s="31"/>
      <c r="H34" s="32"/>
      <c r="J34" s="239" t="s">
        <v>39</v>
      </c>
      <c r="K34" s="239"/>
      <c r="L34" s="5">
        <v>93.24</v>
      </c>
      <c r="M34" s="108">
        <f t="shared" si="9"/>
        <v>8.476363636363636E-2</v>
      </c>
      <c r="N34" s="20">
        <f t="shared" si="10"/>
        <v>9.0682234204206443E-4</v>
      </c>
      <c r="O34" s="58"/>
      <c r="P34" s="115"/>
      <c r="Q34" s="115"/>
    </row>
    <row r="35" spans="1:19" ht="39" customHeight="1" x14ac:dyDescent="0.3">
      <c r="A35" s="239" t="s">
        <v>40</v>
      </c>
      <c r="B35" s="239"/>
      <c r="C35" s="5">
        <v>93.24</v>
      </c>
      <c r="D35" s="6">
        <f t="shared" si="7"/>
        <v>8.4686648501362399E-2</v>
      </c>
      <c r="E35" s="20">
        <f t="shared" si="8"/>
        <v>8.139855980759369E-4</v>
      </c>
      <c r="F35" s="30"/>
      <c r="G35" s="31"/>
      <c r="H35" s="32"/>
      <c r="J35" s="239" t="s">
        <v>40</v>
      </c>
      <c r="K35" s="239"/>
      <c r="L35" s="5">
        <v>93.24</v>
      </c>
      <c r="M35" s="108">
        <f t="shared" si="9"/>
        <v>8.476363636363636E-2</v>
      </c>
      <c r="N35" s="20">
        <f t="shared" si="10"/>
        <v>9.0682234204206443E-4</v>
      </c>
      <c r="O35" s="58"/>
      <c r="P35" s="115"/>
      <c r="Q35" s="115"/>
    </row>
    <row r="36" spans="1:19" ht="39" customHeight="1" x14ac:dyDescent="0.3">
      <c r="A36" s="239" t="s">
        <v>40</v>
      </c>
      <c r="B36" s="239"/>
      <c r="C36" s="5">
        <v>93.24</v>
      </c>
      <c r="D36" s="6">
        <f t="shared" si="7"/>
        <v>8.4686648501362399E-2</v>
      </c>
      <c r="E36" s="20">
        <f t="shared" si="8"/>
        <v>8.139855980759369E-4</v>
      </c>
      <c r="F36" s="30"/>
      <c r="G36" s="31"/>
      <c r="H36" s="32"/>
      <c r="J36" s="239" t="s">
        <v>40</v>
      </c>
      <c r="K36" s="239"/>
      <c r="L36" s="5">
        <v>93.24</v>
      </c>
      <c r="M36" s="108">
        <f t="shared" si="9"/>
        <v>8.476363636363636E-2</v>
      </c>
      <c r="N36" s="20">
        <f t="shared" si="10"/>
        <v>9.0682234204206443E-4</v>
      </c>
      <c r="O36" s="58"/>
      <c r="P36" s="115"/>
      <c r="Q36" s="115"/>
    </row>
    <row r="37" spans="1:19" ht="39" customHeight="1" x14ac:dyDescent="0.3">
      <c r="A37" s="239" t="s">
        <v>41</v>
      </c>
      <c r="B37" s="239"/>
      <c r="C37" s="5">
        <v>93.24</v>
      </c>
      <c r="D37" s="6">
        <f t="shared" si="7"/>
        <v>8.4686648501362399E-2</v>
      </c>
      <c r="E37" s="20">
        <f t="shared" si="8"/>
        <v>8.139855980759369E-4</v>
      </c>
      <c r="F37" s="30"/>
      <c r="G37" s="31"/>
      <c r="H37" s="32"/>
      <c r="J37" s="239" t="s">
        <v>41</v>
      </c>
      <c r="K37" s="239"/>
      <c r="L37" s="5">
        <v>93.24</v>
      </c>
      <c r="M37" s="108">
        <f t="shared" si="9"/>
        <v>8.476363636363636E-2</v>
      </c>
      <c r="N37" s="20">
        <f t="shared" si="10"/>
        <v>9.0682234204206443E-4</v>
      </c>
      <c r="O37" s="58"/>
      <c r="P37" s="115"/>
      <c r="Q37" s="115"/>
    </row>
    <row r="38" spans="1:19" ht="39" customHeight="1" x14ac:dyDescent="0.3">
      <c r="A38" s="239" t="s">
        <v>42</v>
      </c>
      <c r="B38" s="239"/>
      <c r="C38" s="5">
        <v>35.64</v>
      </c>
      <c r="D38" s="6">
        <f t="shared" si="7"/>
        <v>3.2370572207084468E-2</v>
      </c>
      <c r="E38" s="20">
        <f t="shared" si="8"/>
        <v>3.1113735216030023E-4</v>
      </c>
      <c r="F38" s="30"/>
      <c r="G38" s="31"/>
      <c r="H38" s="32"/>
      <c r="J38" s="239" t="s">
        <v>42</v>
      </c>
      <c r="K38" s="239"/>
      <c r="L38" s="5">
        <v>35.64</v>
      </c>
      <c r="M38" s="108">
        <f t="shared" si="9"/>
        <v>3.2399999999999998E-2</v>
      </c>
      <c r="N38" s="20">
        <f t="shared" si="10"/>
        <v>3.4662321182302852E-4</v>
      </c>
      <c r="O38" s="58"/>
      <c r="P38" s="115"/>
      <c r="Q38" s="115"/>
    </row>
    <row r="39" spans="1:19" ht="39" customHeight="1" x14ac:dyDescent="0.3">
      <c r="A39" s="239" t="s">
        <v>45</v>
      </c>
      <c r="B39" s="239"/>
      <c r="C39" s="5">
        <v>91.68</v>
      </c>
      <c r="D39" s="6">
        <f t="shared" si="7"/>
        <v>8.3269754768392379E-2</v>
      </c>
      <c r="E39" s="20">
        <f t="shared" si="8"/>
        <v>8.0036679141572175E-4</v>
      </c>
      <c r="F39" s="30"/>
      <c r="G39" s="31"/>
      <c r="H39" s="32"/>
      <c r="J39" s="239" t="s">
        <v>45</v>
      </c>
      <c r="K39" s="239"/>
      <c r="L39" s="5">
        <v>91.68</v>
      </c>
      <c r="M39" s="108">
        <f t="shared" si="9"/>
        <v>8.3345454545454556E-2</v>
      </c>
      <c r="N39" s="20">
        <f t="shared" si="10"/>
        <v>8.9165028226529893E-4</v>
      </c>
      <c r="O39" s="58"/>
      <c r="P39" s="115"/>
      <c r="Q39" s="115"/>
    </row>
    <row r="40" spans="1:19" ht="39" customHeight="1" x14ac:dyDescent="0.3">
      <c r="A40" s="239" t="s">
        <v>46</v>
      </c>
      <c r="B40" s="239"/>
      <c r="C40" s="5">
        <v>81.599999999999994</v>
      </c>
      <c r="D40" s="6">
        <f t="shared" si="7"/>
        <v>7.4114441416893731E-2</v>
      </c>
      <c r="E40" s="20">
        <f t="shared" si="8"/>
        <v>7.1236834838048527E-4</v>
      </c>
      <c r="F40" s="30"/>
      <c r="G40" s="31"/>
      <c r="H40" s="32"/>
      <c r="J40" s="239" t="s">
        <v>46</v>
      </c>
      <c r="K40" s="239"/>
      <c r="L40" s="5">
        <v>81.599999999999994</v>
      </c>
      <c r="M40" s="108">
        <f t="shared" si="9"/>
        <v>7.4181818181818182E-2</v>
      </c>
      <c r="N40" s="20">
        <f t="shared" si="10"/>
        <v>7.9361543447696754E-4</v>
      </c>
      <c r="O40" s="58"/>
      <c r="P40" s="115"/>
      <c r="Q40" s="115"/>
    </row>
    <row r="41" spans="1:19" ht="39" customHeight="1" x14ac:dyDescent="0.3">
      <c r="A41" s="239" t="s">
        <v>47</v>
      </c>
      <c r="B41" s="239"/>
      <c r="C41" s="5">
        <v>271.68</v>
      </c>
      <c r="D41" s="6">
        <f t="shared" si="7"/>
        <v>0.24675749318801091</v>
      </c>
      <c r="E41" s="20">
        <f t="shared" si="8"/>
        <v>2.3717675599020864E-3</v>
      </c>
      <c r="F41" s="30"/>
      <c r="G41" s="31"/>
      <c r="H41" s="32"/>
      <c r="J41" s="239" t="s">
        <v>47</v>
      </c>
      <c r="K41" s="239"/>
      <c r="L41" s="5">
        <v>271.68</v>
      </c>
      <c r="M41" s="108">
        <f t="shared" si="9"/>
        <v>0.24698181818181819</v>
      </c>
      <c r="N41" s="20">
        <f t="shared" si="10"/>
        <v>2.6422725641997865E-3</v>
      </c>
      <c r="O41" s="58"/>
      <c r="P41" s="115"/>
      <c r="Q41" s="115"/>
    </row>
    <row r="42" spans="1:19" ht="39" customHeight="1" x14ac:dyDescent="0.3">
      <c r="A42" s="340" t="s">
        <v>48</v>
      </c>
      <c r="B42" s="340"/>
      <c r="C42" s="91">
        <v>77.040000000000006</v>
      </c>
      <c r="D42" s="86">
        <f t="shared" si="7"/>
        <v>6.9972752043596737E-2</v>
      </c>
      <c r="E42" s="20">
        <f t="shared" si="8"/>
        <v>6.7255952891216416E-4</v>
      </c>
      <c r="F42" s="30"/>
      <c r="G42" s="31"/>
      <c r="H42" s="32"/>
      <c r="J42" s="239"/>
      <c r="K42" s="239"/>
      <c r="L42" s="123"/>
      <c r="M42" s="123"/>
      <c r="N42" s="20"/>
      <c r="O42" s="58"/>
      <c r="P42" s="115"/>
      <c r="Q42" s="115"/>
    </row>
    <row r="43" spans="1:19" ht="39" customHeight="1" x14ac:dyDescent="0.3">
      <c r="A43" s="341" t="s">
        <v>59</v>
      </c>
      <c r="B43" s="341"/>
      <c r="C43" s="141">
        <v>594.17999999999995</v>
      </c>
      <c r="D43" s="142">
        <f t="shared" si="7"/>
        <v>0.53967302452316068</v>
      </c>
      <c r="E43" s="20">
        <f t="shared" si="8"/>
        <v>5.1871939367734892E-3</v>
      </c>
      <c r="F43" s="30"/>
      <c r="G43" s="31"/>
      <c r="H43" s="32"/>
      <c r="J43" s="341" t="s">
        <v>59</v>
      </c>
      <c r="K43" s="341"/>
      <c r="L43" s="141">
        <v>5280.31</v>
      </c>
      <c r="M43" s="122">
        <f>L43/$P$46</f>
        <v>4.8002818181818183</v>
      </c>
      <c r="N43" s="20">
        <f>L43/$L$45</f>
        <v>5.1354601897341631E-2</v>
      </c>
      <c r="O43" s="58"/>
      <c r="P43" s="115"/>
      <c r="Q43" s="115"/>
      <c r="R43" s="52">
        <f>SUM(C32:C43)</f>
        <v>5424.7200000000012</v>
      </c>
      <c r="S43" s="52">
        <f>SUM(L32:L43)</f>
        <v>38149.979999999996</v>
      </c>
    </row>
    <row r="44" spans="1:19" ht="23.45" customHeight="1" x14ac:dyDescent="0.3">
      <c r="A44" s="319" t="s">
        <v>50</v>
      </c>
      <c r="B44" s="319"/>
      <c r="C44" s="106">
        <f>SUM(C32:C43)</f>
        <v>5424.7200000000012</v>
      </c>
      <c r="D44" s="104">
        <f t="shared" si="7"/>
        <v>4.9270844686648516</v>
      </c>
      <c r="E44" s="105">
        <f>SUM(E32:E43)</f>
        <v>4.7357828760129742E-2</v>
      </c>
      <c r="F44" s="30"/>
      <c r="G44" s="33"/>
      <c r="H44" s="34"/>
      <c r="J44" s="319" t="s">
        <v>50</v>
      </c>
      <c r="K44" s="319"/>
      <c r="L44" s="106">
        <f>SUM(L32:L43)</f>
        <v>38149.979999999996</v>
      </c>
      <c r="M44" s="106">
        <f>SUM(M32:M43)</f>
        <v>34.681799999999996</v>
      </c>
      <c r="N44" s="105">
        <f>SUM(N32:N43)</f>
        <v>0.37103447246308374</v>
      </c>
      <c r="O44" s="58"/>
      <c r="P44" s="117"/>
      <c r="Q44" s="117"/>
    </row>
    <row r="45" spans="1:19" ht="24" thickBot="1" x14ac:dyDescent="0.4">
      <c r="A45" s="320" t="s">
        <v>51</v>
      </c>
      <c r="B45" s="320"/>
      <c r="C45" s="321">
        <f>C30+C44+C18</f>
        <v>114547.48120899999</v>
      </c>
      <c r="D45" s="322">
        <f>C45/B48</f>
        <v>104.13407382636363</v>
      </c>
      <c r="E45" s="323">
        <f>SUM(E44,E30,E18)</f>
        <v>1.0000000000000002</v>
      </c>
      <c r="F45" s="99"/>
      <c r="G45" s="36"/>
      <c r="H45" s="37"/>
      <c r="J45" s="320" t="s">
        <v>51</v>
      </c>
      <c r="K45" s="320"/>
      <c r="L45" s="321">
        <f>L30+L44+L18</f>
        <v>102820.58091999999</v>
      </c>
      <c r="M45" s="322">
        <f>L45/K48</f>
        <v>93.473255381818177</v>
      </c>
      <c r="N45" s="323">
        <f>SUM(N44,N30,N18)</f>
        <v>1</v>
      </c>
      <c r="O45" s="118"/>
      <c r="P45" s="119"/>
      <c r="Q45" s="119"/>
      <c r="R45" s="125">
        <f>SUM(R7:R43)</f>
        <v>114547.48120899999</v>
      </c>
      <c r="S45" s="125">
        <f>SUM(S7:S43)</f>
        <v>102820.58092000001</v>
      </c>
    </row>
    <row r="46" spans="1:19" ht="68.45" customHeight="1" thickBot="1" x14ac:dyDescent="0.3">
      <c r="A46" s="324" t="s">
        <v>60</v>
      </c>
      <c r="B46" s="324"/>
      <c r="C46" s="321"/>
      <c r="D46" s="322"/>
      <c r="E46" s="323"/>
      <c r="F46" s="100">
        <v>1100</v>
      </c>
      <c r="G46" s="71">
        <v>1101</v>
      </c>
      <c r="H46" s="39"/>
      <c r="J46" s="324" t="s">
        <v>60</v>
      </c>
      <c r="K46" s="324"/>
      <c r="L46" s="321"/>
      <c r="M46" s="322"/>
      <c r="N46" s="323"/>
      <c r="O46" s="120">
        <v>1100</v>
      </c>
      <c r="P46" s="121">
        <v>1100</v>
      </c>
      <c r="Q46" s="120"/>
    </row>
    <row r="48" spans="1:19" hidden="1" x14ac:dyDescent="0.25">
      <c r="B48">
        <v>1100</v>
      </c>
      <c r="D48" s="52">
        <f>C45/1100</f>
        <v>104.13407382636363</v>
      </c>
      <c r="K48">
        <v>1100</v>
      </c>
      <c r="M48" s="125">
        <f>L45/K48</f>
        <v>93.473255381818177</v>
      </c>
    </row>
    <row r="49" s="130" customFormat="1" ht="18.75" x14ac:dyDescent="0.3"/>
  </sheetData>
  <mergeCells count="101">
    <mergeCell ref="A4:H4"/>
    <mergeCell ref="J4:Q4"/>
    <mergeCell ref="B5:D5"/>
    <mergeCell ref="K5:M5"/>
    <mergeCell ref="A6:H6"/>
    <mergeCell ref="J6:Q6"/>
    <mergeCell ref="A1:H1"/>
    <mergeCell ref="J1:Q1"/>
    <mergeCell ref="A2:H2"/>
    <mergeCell ref="J2:Q2"/>
    <mergeCell ref="A3:H3"/>
    <mergeCell ref="J3:Q3"/>
    <mergeCell ref="F10:H10"/>
    <mergeCell ref="O10:Q10"/>
    <mergeCell ref="F11:H11"/>
    <mergeCell ref="O11:Q11"/>
    <mergeCell ref="F12:H12"/>
    <mergeCell ref="O12:Q12"/>
    <mergeCell ref="F7:H7"/>
    <mergeCell ref="O7:Q7"/>
    <mergeCell ref="A8:E8"/>
    <mergeCell ref="J8:Q8"/>
    <mergeCell ref="F9:H9"/>
    <mergeCell ref="O9:Q9"/>
    <mergeCell ref="F17:H17"/>
    <mergeCell ref="O17:Q17"/>
    <mergeCell ref="A18:B18"/>
    <mergeCell ref="F18:H18"/>
    <mergeCell ref="J18:K18"/>
    <mergeCell ref="O18:Q18"/>
    <mergeCell ref="F13:H13"/>
    <mergeCell ref="F14:H14"/>
    <mergeCell ref="O14:Q14"/>
    <mergeCell ref="F15:H15"/>
    <mergeCell ref="O15:Q15"/>
    <mergeCell ref="F16:H16"/>
    <mergeCell ref="O16:Q16"/>
    <mergeCell ref="A22:A23"/>
    <mergeCell ref="G22:H22"/>
    <mergeCell ref="J22:J23"/>
    <mergeCell ref="P22:Q22"/>
    <mergeCell ref="G23:H23"/>
    <mergeCell ref="P23:Q23"/>
    <mergeCell ref="A19:A20"/>
    <mergeCell ref="F19:G19"/>
    <mergeCell ref="J19:J20"/>
    <mergeCell ref="O19:P19"/>
    <mergeCell ref="G21:H21"/>
    <mergeCell ref="P21:Q21"/>
    <mergeCell ref="F28:H28"/>
    <mergeCell ref="O28:Q28"/>
    <mergeCell ref="F29:H29"/>
    <mergeCell ref="O29:Q29"/>
    <mergeCell ref="A30:B30"/>
    <mergeCell ref="F30:H30"/>
    <mergeCell ref="J30:K30"/>
    <mergeCell ref="O30:Q30"/>
    <mergeCell ref="F24:H24"/>
    <mergeCell ref="O24:Q24"/>
    <mergeCell ref="F25:H25"/>
    <mergeCell ref="O25:Q25"/>
    <mergeCell ref="G26:H26"/>
    <mergeCell ref="P26:Q26"/>
    <mergeCell ref="A34:B34"/>
    <mergeCell ref="J34:K34"/>
    <mergeCell ref="A35:B35"/>
    <mergeCell ref="J35:K35"/>
    <mergeCell ref="A36:B36"/>
    <mergeCell ref="J36:K36"/>
    <mergeCell ref="A31:E31"/>
    <mergeCell ref="J31:Q31"/>
    <mergeCell ref="A32:B32"/>
    <mergeCell ref="J32:K32"/>
    <mergeCell ref="A33:B33"/>
    <mergeCell ref="J33:K33"/>
    <mergeCell ref="A40:B40"/>
    <mergeCell ref="J40:K40"/>
    <mergeCell ref="A41:B41"/>
    <mergeCell ref="J41:K41"/>
    <mergeCell ref="A42:B42"/>
    <mergeCell ref="J42:K42"/>
    <mergeCell ref="A37:B37"/>
    <mergeCell ref="J37:K37"/>
    <mergeCell ref="A38:B38"/>
    <mergeCell ref="J38:K38"/>
    <mergeCell ref="A39:B39"/>
    <mergeCell ref="J39:K39"/>
    <mergeCell ref="L45:L46"/>
    <mergeCell ref="M45:M46"/>
    <mergeCell ref="N45:N46"/>
    <mergeCell ref="A46:B46"/>
    <mergeCell ref="J46:K46"/>
    <mergeCell ref="A43:B43"/>
    <mergeCell ref="J43:K43"/>
    <mergeCell ref="A44:B44"/>
    <mergeCell ref="J44:K44"/>
    <mergeCell ref="A45:B45"/>
    <mergeCell ref="C45:C46"/>
    <mergeCell ref="D45:D46"/>
    <mergeCell ref="E45:E46"/>
    <mergeCell ref="J45:K45"/>
  </mergeCells>
  <pageMargins left="0.7" right="0.7" top="0.75" bottom="0.75" header="0.3" footer="0.3"/>
  <pageSetup paperSize="8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9CD0-BBEC-4AB7-8899-7D4C95BF2508}">
  <dimension ref="A1:F21"/>
  <sheetViews>
    <sheetView topLeftCell="A7" workbookViewId="0">
      <selection activeCell="F20" sqref="F20"/>
    </sheetView>
  </sheetViews>
  <sheetFormatPr defaultRowHeight="15" x14ac:dyDescent="0.25"/>
  <cols>
    <col min="1" max="2" width="11.28515625" customWidth="1"/>
  </cols>
  <sheetData>
    <row r="1" spans="1:2" x14ac:dyDescent="0.25">
      <c r="A1">
        <v>176</v>
      </c>
    </row>
    <row r="2" spans="1:2" x14ac:dyDescent="0.25">
      <c r="A2">
        <v>160</v>
      </c>
    </row>
    <row r="3" spans="1:2" x14ac:dyDescent="0.25">
      <c r="A3">
        <v>168</v>
      </c>
    </row>
    <row r="4" spans="1:2" x14ac:dyDescent="0.25">
      <c r="A4">
        <v>158</v>
      </c>
    </row>
    <row r="5" spans="1:2" x14ac:dyDescent="0.25">
      <c r="A5">
        <v>160</v>
      </c>
    </row>
    <row r="6" spans="1:2" x14ac:dyDescent="0.25">
      <c r="A6">
        <v>152</v>
      </c>
    </row>
    <row r="7" spans="1:2" x14ac:dyDescent="0.25">
      <c r="A7">
        <v>184</v>
      </c>
    </row>
    <row r="8" spans="1:2" x14ac:dyDescent="0.25">
      <c r="A8">
        <v>168</v>
      </c>
    </row>
    <row r="9" spans="1:2" x14ac:dyDescent="0.25">
      <c r="A9">
        <v>176</v>
      </c>
    </row>
    <row r="10" spans="1:2" x14ac:dyDescent="0.25">
      <c r="A10">
        <v>184</v>
      </c>
    </row>
    <row r="11" spans="1:2" x14ac:dyDescent="0.25">
      <c r="A11">
        <v>151</v>
      </c>
    </row>
    <row r="12" spans="1:2" x14ac:dyDescent="0.25">
      <c r="A12">
        <v>150</v>
      </c>
    </row>
    <row r="13" spans="1:2" x14ac:dyDescent="0.25">
      <c r="A13">
        <f>SUM(A1:A12)</f>
        <v>1987</v>
      </c>
      <c r="B13">
        <f>A13/12</f>
        <v>165.58333333333334</v>
      </c>
    </row>
    <row r="17" spans="1:6" x14ac:dyDescent="0.25">
      <c r="B17" s="139">
        <v>0.15</v>
      </c>
      <c r="C17" s="139">
        <v>0.1</v>
      </c>
    </row>
    <row r="19" spans="1:6" x14ac:dyDescent="0.25">
      <c r="A19">
        <v>3000000</v>
      </c>
      <c r="B19">
        <f>A19*0.15</f>
        <v>450000</v>
      </c>
      <c r="C19">
        <f>B19*0.1</f>
        <v>45000</v>
      </c>
      <c r="E19">
        <f>B19-C19</f>
        <v>405000</v>
      </c>
      <c r="F19">
        <f>E19/3</f>
        <v>135000</v>
      </c>
    </row>
    <row r="21" spans="1:6" x14ac:dyDescent="0.25">
      <c r="A21">
        <f>A19-B19</f>
        <v>2550000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6368-A7B8-4A0B-8514-12297CBA3CDA}">
  <dimension ref="A1:H45"/>
  <sheetViews>
    <sheetView topLeftCell="A13" zoomScale="78" zoomScaleNormal="78" workbookViewId="0">
      <selection activeCell="F25" sqref="F25"/>
    </sheetView>
  </sheetViews>
  <sheetFormatPr defaultRowHeight="15" x14ac:dyDescent="0.25"/>
  <cols>
    <col min="1" max="1" width="22.42578125" customWidth="1"/>
    <col min="2" max="2" width="81.5703125" customWidth="1"/>
    <col min="3" max="3" width="36.28515625" customWidth="1"/>
    <col min="4" max="4" width="27.7109375" customWidth="1"/>
    <col min="5" max="5" width="19.42578125" customWidth="1"/>
    <col min="6" max="6" width="72.42578125" customWidth="1"/>
    <col min="7" max="7" width="49.7109375" customWidth="1"/>
    <col min="8" max="8" width="22.5703125" customWidth="1"/>
  </cols>
  <sheetData>
    <row r="1" spans="1:8" ht="33" x14ac:dyDescent="0.45">
      <c r="A1" s="290" t="s">
        <v>0</v>
      </c>
      <c r="B1" s="290"/>
      <c r="C1" s="290"/>
      <c r="D1" s="290"/>
      <c r="E1" s="290"/>
      <c r="F1" s="290"/>
      <c r="G1" s="290"/>
      <c r="H1" s="290"/>
    </row>
    <row r="2" spans="1:8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</row>
    <row r="3" spans="1:8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</row>
    <row r="4" spans="1:8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</row>
    <row r="5" spans="1:8" ht="16.5" thickBot="1" x14ac:dyDescent="0.3">
      <c r="A5" s="292"/>
      <c r="B5" s="292"/>
      <c r="C5" s="292"/>
      <c r="D5" s="292"/>
      <c r="E5" s="292"/>
      <c r="F5" s="292"/>
      <c r="G5" s="292"/>
      <c r="H5" s="292"/>
    </row>
    <row r="6" spans="1:8" s="51" customFormat="1" ht="81.75" thickBot="1" x14ac:dyDescent="0.4">
      <c r="A6" s="48" t="s">
        <v>4</v>
      </c>
      <c r="B6" s="49" t="s">
        <v>5</v>
      </c>
      <c r="C6" s="49" t="s">
        <v>6</v>
      </c>
      <c r="D6" s="49" t="s">
        <v>7</v>
      </c>
      <c r="E6" s="50" t="s">
        <v>8</v>
      </c>
      <c r="F6" s="293" t="s">
        <v>9</v>
      </c>
      <c r="G6" s="294"/>
      <c r="H6" s="295"/>
    </row>
    <row r="7" spans="1:8" ht="22.9" customHeight="1" thickBot="1" x14ac:dyDescent="0.3">
      <c r="A7" s="305" t="s">
        <v>10</v>
      </c>
      <c r="B7" s="306"/>
      <c r="C7" s="306"/>
      <c r="D7" s="306"/>
      <c r="E7" s="306"/>
      <c r="F7" s="306"/>
      <c r="G7" s="306"/>
      <c r="H7" s="307"/>
    </row>
    <row r="8" spans="1:8" ht="20.25" x14ac:dyDescent="0.25">
      <c r="A8" s="1">
        <v>1100</v>
      </c>
      <c r="B8" s="40" t="s">
        <v>11</v>
      </c>
      <c r="C8" s="2">
        <v>749.62</v>
      </c>
      <c r="D8" s="3">
        <f t="shared" ref="D8:D15" si="0">C8/$G$45</f>
        <v>0.68147272727272723</v>
      </c>
      <c r="E8" s="68">
        <f>D8/$D$44</f>
        <v>7.1245713967854566E-3</v>
      </c>
      <c r="F8" s="299">
        <v>1013</v>
      </c>
      <c r="G8" s="300"/>
      <c r="H8" s="301"/>
    </row>
    <row r="9" spans="1:8" ht="20.25" x14ac:dyDescent="0.25">
      <c r="A9" s="4">
        <v>1100</v>
      </c>
      <c r="B9" s="17" t="s">
        <v>12</v>
      </c>
      <c r="C9" s="5">
        <v>749.62</v>
      </c>
      <c r="D9" s="6">
        <f t="shared" si="0"/>
        <v>0.68147272727272723</v>
      </c>
      <c r="E9" s="69">
        <f t="shared" ref="E9:E27" si="1">D9/$D$44</f>
        <v>7.1245713967854566E-3</v>
      </c>
      <c r="F9" s="281">
        <v>1013</v>
      </c>
      <c r="G9" s="282"/>
      <c r="H9" s="283"/>
    </row>
    <row r="10" spans="1:8" ht="20.25" x14ac:dyDescent="0.25">
      <c r="A10" s="83">
        <v>1100</v>
      </c>
      <c r="B10" s="84" t="s">
        <v>54</v>
      </c>
      <c r="C10" s="91">
        <v>5040</v>
      </c>
      <c r="D10" s="86">
        <f t="shared" si="0"/>
        <v>4.581818181818182</v>
      </c>
      <c r="E10" s="90">
        <f t="shared" si="1"/>
        <v>4.7901389823909055E-2</v>
      </c>
      <c r="F10" s="308">
        <v>700</v>
      </c>
      <c r="G10" s="309"/>
      <c r="H10" s="310"/>
    </row>
    <row r="11" spans="1:8" ht="20.25" x14ac:dyDescent="0.25">
      <c r="A11" s="4">
        <v>1100</v>
      </c>
      <c r="B11" s="17" t="s">
        <v>14</v>
      </c>
      <c r="C11" s="7">
        <v>1613.2</v>
      </c>
      <c r="D11" s="6">
        <f t="shared" si="0"/>
        <v>1.4665454545454546</v>
      </c>
      <c r="E11" s="69">
        <f t="shared" si="1"/>
        <v>1.5332246441255968E-2</v>
      </c>
      <c r="F11" s="281">
        <v>1090</v>
      </c>
      <c r="G11" s="282"/>
      <c r="H11" s="283"/>
    </row>
    <row r="12" spans="1:8" ht="20.25" x14ac:dyDescent="0.25">
      <c r="A12" s="4">
        <v>1100</v>
      </c>
      <c r="B12" s="17" t="s">
        <v>16</v>
      </c>
      <c r="C12" s="7">
        <v>76.52</v>
      </c>
      <c r="D12" s="6">
        <f t="shared" si="0"/>
        <v>6.9563636363636355E-2</v>
      </c>
      <c r="E12" s="69">
        <f t="shared" si="1"/>
        <v>7.2726475185030167E-4</v>
      </c>
      <c r="F12" s="281">
        <v>1726</v>
      </c>
      <c r="G12" s="282"/>
      <c r="H12" s="283"/>
    </row>
    <row r="13" spans="1:8" ht="37.5" x14ac:dyDescent="0.25">
      <c r="A13" s="8">
        <v>1100</v>
      </c>
      <c r="B13" s="41" t="s">
        <v>17</v>
      </c>
      <c r="C13" s="7">
        <v>26.07</v>
      </c>
      <c r="D13" s="6">
        <f t="shared" si="0"/>
        <v>2.3699999999999999E-2</v>
      </c>
      <c r="E13" s="69">
        <f t="shared" si="1"/>
        <v>2.4777564141057715E-4</v>
      </c>
      <c r="F13" s="281">
        <v>1554</v>
      </c>
      <c r="G13" s="282"/>
      <c r="H13" s="283"/>
    </row>
    <row r="14" spans="1:8" ht="20.25" x14ac:dyDescent="0.25">
      <c r="A14" s="8">
        <v>1100</v>
      </c>
      <c r="B14" s="41" t="s">
        <v>18</v>
      </c>
      <c r="C14" s="7">
        <v>28.95</v>
      </c>
      <c r="D14" s="6">
        <f t="shared" si="0"/>
        <v>2.6318181818181817E-2</v>
      </c>
      <c r="E14" s="69">
        <f t="shared" si="1"/>
        <v>2.7514786416709661E-4</v>
      </c>
      <c r="F14" s="281">
        <v>1726</v>
      </c>
      <c r="G14" s="282"/>
      <c r="H14" s="283"/>
    </row>
    <row r="15" spans="1:8" ht="38.25" thickBot="1" x14ac:dyDescent="0.3">
      <c r="A15" s="22">
        <v>1200</v>
      </c>
      <c r="B15" s="78" t="s">
        <v>19</v>
      </c>
      <c r="C15" s="79">
        <f>SUM(C8:C14)*0.2359</f>
        <v>1954.1908819999999</v>
      </c>
      <c r="D15" s="80">
        <f t="shared" si="0"/>
        <v>1.7765371654545454</v>
      </c>
      <c r="E15" s="81">
        <f t="shared" si="1"/>
        <v>1.8573106989883067E-2</v>
      </c>
      <c r="F15" s="284"/>
      <c r="G15" s="285"/>
      <c r="H15" s="286"/>
    </row>
    <row r="16" spans="1:8" ht="21.6" customHeight="1" thickBot="1" x14ac:dyDescent="0.3">
      <c r="A16" s="242" t="s">
        <v>20</v>
      </c>
      <c r="B16" s="243"/>
      <c r="C16" s="47">
        <f>SUM(C8:C15)</f>
        <v>10238.170881999999</v>
      </c>
      <c r="D16" s="43">
        <f>SUM(D8:D15)</f>
        <v>9.3074280745454541</v>
      </c>
      <c r="E16" s="74">
        <f>SUM(E8:E15)</f>
        <v>9.7306074306046986E-2</v>
      </c>
      <c r="F16" s="311"/>
      <c r="G16" s="288"/>
      <c r="H16" s="289"/>
    </row>
    <row r="17" spans="1:8" ht="20.25" x14ac:dyDescent="0.25">
      <c r="A17" s="312">
        <v>2210</v>
      </c>
      <c r="B17" s="40" t="s">
        <v>21</v>
      </c>
      <c r="C17" s="2">
        <f>F17*H17</f>
        <v>60</v>
      </c>
      <c r="D17" s="3">
        <f t="shared" ref="D17:D28" si="2">C17/$G$45</f>
        <v>5.4545454545454543E-2</v>
      </c>
      <c r="E17" s="68">
        <f t="shared" si="1"/>
        <v>5.7025464076082197E-4</v>
      </c>
      <c r="F17" s="262">
        <v>5</v>
      </c>
      <c r="G17" s="263"/>
      <c r="H17" s="14">
        <v>12</v>
      </c>
    </row>
    <row r="18" spans="1:8" ht="20.25" x14ac:dyDescent="0.25">
      <c r="A18" s="261"/>
      <c r="B18" s="15" t="s">
        <v>22</v>
      </c>
      <c r="C18" s="5">
        <f>F18*G18*H18</f>
        <v>576</v>
      </c>
      <c r="D18" s="6">
        <f t="shared" si="2"/>
        <v>0.52363636363636368</v>
      </c>
      <c r="E18" s="69">
        <f t="shared" si="1"/>
        <v>5.4744445513038916E-3</v>
      </c>
      <c r="F18" s="60">
        <v>16</v>
      </c>
      <c r="G18" s="16">
        <v>3</v>
      </c>
      <c r="H18" s="14">
        <v>12</v>
      </c>
    </row>
    <row r="19" spans="1:8" ht="20.25" x14ac:dyDescent="0.25">
      <c r="A19" s="4">
        <v>2222</v>
      </c>
      <c r="B19" s="17" t="s">
        <v>23</v>
      </c>
      <c r="C19" s="5">
        <f>F19*G19</f>
        <v>11.6</v>
      </c>
      <c r="D19" s="6">
        <f t="shared" si="2"/>
        <v>1.0545454545454545E-2</v>
      </c>
      <c r="E19" s="69">
        <f t="shared" si="1"/>
        <v>1.1024923054709226E-4</v>
      </c>
      <c r="F19" s="61">
        <v>8</v>
      </c>
      <c r="G19" s="264">
        <v>1.45</v>
      </c>
      <c r="H19" s="265"/>
    </row>
    <row r="20" spans="1:8" ht="20.25" x14ac:dyDescent="0.25">
      <c r="A20" s="261">
        <v>2223</v>
      </c>
      <c r="B20" s="15" t="s">
        <v>24</v>
      </c>
      <c r="C20" s="5">
        <f>F20*G20</f>
        <v>3116.7929400000003</v>
      </c>
      <c r="D20" s="6">
        <f t="shared" si="2"/>
        <v>2.8334481272727277</v>
      </c>
      <c r="E20" s="69">
        <f t="shared" si="1"/>
        <v>2.9622760638759443E-2</v>
      </c>
      <c r="F20" s="62">
        <v>24762</v>
      </c>
      <c r="G20" s="266">
        <v>0.12587000000000001</v>
      </c>
      <c r="H20" s="267"/>
    </row>
    <row r="21" spans="1:8" ht="20.25" x14ac:dyDescent="0.25">
      <c r="A21" s="261"/>
      <c r="B21" s="15" t="s">
        <v>25</v>
      </c>
      <c r="C21" s="5">
        <f>F21*G21</f>
        <v>787.19999999999993</v>
      </c>
      <c r="D21" s="6">
        <f t="shared" si="2"/>
        <v>0.71563636363636363</v>
      </c>
      <c r="E21" s="69">
        <f t="shared" si="1"/>
        <v>7.4817408867819853E-3</v>
      </c>
      <c r="F21" s="63">
        <v>12</v>
      </c>
      <c r="G21" s="268">
        <v>65.599999999999994</v>
      </c>
      <c r="H21" s="269"/>
    </row>
    <row r="22" spans="1:8" ht="20.25" x14ac:dyDescent="0.25">
      <c r="A22" s="4">
        <v>2243</v>
      </c>
      <c r="B22" s="17" t="s">
        <v>26</v>
      </c>
      <c r="C22" s="5">
        <v>500</v>
      </c>
      <c r="D22" s="6">
        <f t="shared" si="2"/>
        <v>0.45454545454545453</v>
      </c>
      <c r="E22" s="69">
        <f t="shared" si="1"/>
        <v>4.7521220063401837E-3</v>
      </c>
      <c r="F22" s="270" t="s">
        <v>27</v>
      </c>
      <c r="G22" s="271"/>
      <c r="H22" s="272"/>
    </row>
    <row r="23" spans="1:8" ht="20.25" x14ac:dyDescent="0.25">
      <c r="A23" s="4">
        <v>2310</v>
      </c>
      <c r="B23" s="17" t="s">
        <v>28</v>
      </c>
      <c r="C23" s="5">
        <v>40</v>
      </c>
      <c r="D23" s="6">
        <f t="shared" si="2"/>
        <v>3.6363636363636362E-2</v>
      </c>
      <c r="E23" s="69">
        <f t="shared" si="1"/>
        <v>3.8016976050721468E-4</v>
      </c>
      <c r="F23" s="270" t="s">
        <v>29</v>
      </c>
      <c r="G23" s="271"/>
      <c r="H23" s="272"/>
    </row>
    <row r="24" spans="1:8" ht="20.25" x14ac:dyDescent="0.25">
      <c r="A24" s="83">
        <v>2321</v>
      </c>
      <c r="B24" s="84" t="s">
        <v>55</v>
      </c>
      <c r="C24" s="91">
        <f>F24*G24</f>
        <v>40625</v>
      </c>
      <c r="D24" s="86">
        <f t="shared" si="2"/>
        <v>36.93181818181818</v>
      </c>
      <c r="E24" s="90">
        <f t="shared" si="1"/>
        <v>0.38610991301513992</v>
      </c>
      <c r="F24" s="77">
        <v>1625</v>
      </c>
      <c r="G24" s="313">
        <v>25</v>
      </c>
      <c r="H24" s="314"/>
    </row>
    <row r="25" spans="1:8" ht="20.25" x14ac:dyDescent="0.25">
      <c r="A25" s="83">
        <v>2322</v>
      </c>
      <c r="B25" s="84" t="s">
        <v>31</v>
      </c>
      <c r="C25" s="91">
        <v>2000</v>
      </c>
      <c r="D25" s="86">
        <f t="shared" si="2"/>
        <v>1.8181818181818181</v>
      </c>
      <c r="E25" s="90">
        <f t="shared" si="1"/>
        <v>1.9008488025360735E-2</v>
      </c>
      <c r="F25" s="64"/>
      <c r="G25" s="66"/>
      <c r="H25" s="67"/>
    </row>
    <row r="26" spans="1:8" ht="20.25" x14ac:dyDescent="0.25">
      <c r="A26" s="83">
        <v>2350</v>
      </c>
      <c r="B26" s="84" t="s">
        <v>33</v>
      </c>
      <c r="C26" s="91">
        <v>100</v>
      </c>
      <c r="D26" s="86">
        <f t="shared" si="2"/>
        <v>9.0909090909090912E-2</v>
      </c>
      <c r="E26" s="90">
        <f t="shared" si="1"/>
        <v>9.5042440126803676E-4</v>
      </c>
      <c r="F26" s="275" t="s">
        <v>56</v>
      </c>
      <c r="G26" s="276"/>
      <c r="H26" s="277"/>
    </row>
    <row r="27" spans="1:8" ht="21" thickBot="1" x14ac:dyDescent="0.3">
      <c r="A27" s="22">
        <v>2515</v>
      </c>
      <c r="B27" s="78" t="s">
        <v>35</v>
      </c>
      <c r="C27" s="79">
        <v>428.62</v>
      </c>
      <c r="D27" s="80">
        <f t="shared" si="2"/>
        <v>0.38965454545454548</v>
      </c>
      <c r="E27" s="81">
        <f t="shared" si="1"/>
        <v>4.0737090687150588E-3</v>
      </c>
      <c r="F27" s="278"/>
      <c r="G27" s="279"/>
      <c r="H27" s="280"/>
    </row>
    <row r="28" spans="1:8" ht="21.6" customHeight="1" thickBot="1" x14ac:dyDescent="0.3">
      <c r="A28" s="255" t="s">
        <v>36</v>
      </c>
      <c r="B28" s="256"/>
      <c r="C28" s="44">
        <f>SUM(C17:C27)</f>
        <v>48245.212940000005</v>
      </c>
      <c r="D28" s="45">
        <f t="shared" si="2"/>
        <v>43.859284490909097</v>
      </c>
      <c r="E28" s="46">
        <f>SUM(E17:E27)</f>
        <v>0.45853427622548437</v>
      </c>
      <c r="F28" s="257"/>
      <c r="G28" s="258"/>
      <c r="H28" s="259"/>
    </row>
    <row r="29" spans="1:8" ht="22.9" customHeight="1" thickBot="1" x14ac:dyDescent="0.3">
      <c r="A29" s="315" t="s">
        <v>37</v>
      </c>
      <c r="B29" s="316"/>
      <c r="C29" s="316"/>
      <c r="D29" s="316"/>
      <c r="E29" s="316"/>
      <c r="F29" s="316"/>
      <c r="G29" s="316"/>
      <c r="H29" s="317"/>
    </row>
    <row r="30" spans="1:8" ht="21.6" customHeight="1" thickBot="1" x14ac:dyDescent="0.35">
      <c r="A30" s="251" t="s">
        <v>38</v>
      </c>
      <c r="B30" s="252"/>
      <c r="C30" s="2">
        <v>334.92</v>
      </c>
      <c r="D30" s="6">
        <f t="shared" ref="D30:D43" si="3">C30/$G$45</f>
        <v>0.30447272727272728</v>
      </c>
      <c r="E30" s="20">
        <f t="shared" ref="E30:E42" si="4">D30/$D$44</f>
        <v>3.1831614047269086E-3</v>
      </c>
      <c r="F30" s="23"/>
      <c r="G30" s="24"/>
      <c r="H30" s="25"/>
    </row>
    <row r="31" spans="1:8" ht="34.9" customHeight="1" x14ac:dyDescent="0.3">
      <c r="A31" s="253" t="s">
        <v>57</v>
      </c>
      <c r="B31" s="254"/>
      <c r="C31" s="73">
        <f>0.1*390000</f>
        <v>39000</v>
      </c>
      <c r="D31" s="75">
        <f t="shared" si="3"/>
        <v>35.454545454545453</v>
      </c>
      <c r="E31" s="76">
        <f t="shared" si="4"/>
        <v>0.37066551649453433</v>
      </c>
      <c r="F31" s="30"/>
      <c r="G31" s="31"/>
      <c r="H31" s="32"/>
    </row>
    <row r="32" spans="1:8" ht="21" customHeight="1" x14ac:dyDescent="0.3">
      <c r="A32" s="250" t="s">
        <v>39</v>
      </c>
      <c r="B32" s="239"/>
      <c r="C32" s="5">
        <v>93.24</v>
      </c>
      <c r="D32" s="6">
        <f t="shared" si="3"/>
        <v>8.476363636363636E-2</v>
      </c>
      <c r="E32" s="20">
        <f t="shared" si="4"/>
        <v>8.8617571174231743E-4</v>
      </c>
      <c r="F32" s="30"/>
      <c r="G32" s="31"/>
      <c r="H32" s="32"/>
    </row>
    <row r="33" spans="1:8" ht="21" customHeight="1" x14ac:dyDescent="0.3">
      <c r="A33" s="250" t="s">
        <v>40</v>
      </c>
      <c r="B33" s="239"/>
      <c r="C33" s="5">
        <v>93.24</v>
      </c>
      <c r="D33" s="6">
        <f t="shared" si="3"/>
        <v>8.476363636363636E-2</v>
      </c>
      <c r="E33" s="20">
        <f t="shared" si="4"/>
        <v>8.8617571174231743E-4</v>
      </c>
      <c r="F33" s="30"/>
      <c r="G33" s="31"/>
      <c r="H33" s="32"/>
    </row>
    <row r="34" spans="1:8" ht="21" customHeight="1" x14ac:dyDescent="0.3">
      <c r="A34" s="250" t="s">
        <v>40</v>
      </c>
      <c r="B34" s="239"/>
      <c r="C34" s="5">
        <v>93.24</v>
      </c>
      <c r="D34" s="6">
        <f t="shared" si="3"/>
        <v>8.476363636363636E-2</v>
      </c>
      <c r="E34" s="20">
        <f t="shared" si="4"/>
        <v>8.8617571174231743E-4</v>
      </c>
      <c r="F34" s="30"/>
      <c r="G34" s="31"/>
      <c r="H34" s="32"/>
    </row>
    <row r="35" spans="1:8" ht="21" customHeight="1" x14ac:dyDescent="0.3">
      <c r="A35" s="250" t="s">
        <v>41</v>
      </c>
      <c r="B35" s="239"/>
      <c r="C35" s="5">
        <v>93.24</v>
      </c>
      <c r="D35" s="6">
        <f t="shared" si="3"/>
        <v>8.476363636363636E-2</v>
      </c>
      <c r="E35" s="20">
        <f t="shared" si="4"/>
        <v>8.8617571174231743E-4</v>
      </c>
      <c r="F35" s="30"/>
      <c r="G35" s="31"/>
      <c r="H35" s="32"/>
    </row>
    <row r="36" spans="1:8" ht="21" customHeight="1" x14ac:dyDescent="0.3">
      <c r="A36" s="250" t="s">
        <v>42</v>
      </c>
      <c r="B36" s="239"/>
      <c r="C36" s="5">
        <v>35.64</v>
      </c>
      <c r="D36" s="6">
        <f t="shared" si="3"/>
        <v>3.2399999999999998E-2</v>
      </c>
      <c r="E36" s="20">
        <f t="shared" si="4"/>
        <v>3.3873125661192826E-4</v>
      </c>
      <c r="F36" s="30"/>
      <c r="G36" s="31"/>
      <c r="H36" s="32"/>
    </row>
    <row r="37" spans="1:8" ht="21" customHeight="1" x14ac:dyDescent="0.3">
      <c r="A37" s="250" t="s">
        <v>43</v>
      </c>
      <c r="B37" s="239"/>
      <c r="C37" s="5">
        <v>129.6</v>
      </c>
      <c r="D37" s="6">
        <f t="shared" si="3"/>
        <v>0.11781818181818181</v>
      </c>
      <c r="E37" s="20">
        <f t="shared" si="4"/>
        <v>1.2317500240433756E-3</v>
      </c>
      <c r="F37" s="30"/>
      <c r="G37" s="31"/>
      <c r="H37" s="32"/>
    </row>
    <row r="38" spans="1:8" ht="21" customHeight="1" x14ac:dyDescent="0.3">
      <c r="A38" s="250" t="s">
        <v>44</v>
      </c>
      <c r="B38" s="239"/>
      <c r="C38" s="5">
        <v>78.959999999999994</v>
      </c>
      <c r="D38" s="6">
        <f t="shared" si="3"/>
        <v>7.1781818181818183E-2</v>
      </c>
      <c r="E38" s="20">
        <f t="shared" si="4"/>
        <v>7.5045510724124184E-4</v>
      </c>
      <c r="F38" s="30"/>
      <c r="G38" s="31"/>
      <c r="H38" s="32"/>
    </row>
    <row r="39" spans="1:8" ht="21" customHeight="1" x14ac:dyDescent="0.3">
      <c r="A39" s="250" t="s">
        <v>45</v>
      </c>
      <c r="B39" s="239"/>
      <c r="C39" s="5">
        <v>91.68</v>
      </c>
      <c r="D39" s="6">
        <f t="shared" si="3"/>
        <v>8.3345454545454556E-2</v>
      </c>
      <c r="E39" s="20">
        <f t="shared" si="4"/>
        <v>8.7134909108253615E-4</v>
      </c>
      <c r="F39" s="30"/>
      <c r="G39" s="31"/>
      <c r="H39" s="32"/>
    </row>
    <row r="40" spans="1:8" ht="21" customHeight="1" x14ac:dyDescent="0.3">
      <c r="A40" s="250" t="s">
        <v>46</v>
      </c>
      <c r="B40" s="239"/>
      <c r="C40" s="5">
        <v>81.599999999999994</v>
      </c>
      <c r="D40" s="6">
        <f t="shared" si="3"/>
        <v>7.4181818181818182E-2</v>
      </c>
      <c r="E40" s="20">
        <f t="shared" si="4"/>
        <v>7.7554631143471797E-4</v>
      </c>
      <c r="F40" s="30"/>
      <c r="G40" s="31"/>
      <c r="H40" s="32"/>
    </row>
    <row r="41" spans="1:8" ht="21" customHeight="1" x14ac:dyDescent="0.3">
      <c r="A41" s="250" t="s">
        <v>47</v>
      </c>
      <c r="B41" s="239"/>
      <c r="C41" s="5">
        <v>271.68</v>
      </c>
      <c r="D41" s="6">
        <f t="shared" si="3"/>
        <v>0.24698181818181819</v>
      </c>
      <c r="E41" s="20">
        <f t="shared" si="4"/>
        <v>2.5821130133650023E-3</v>
      </c>
      <c r="F41" s="30"/>
      <c r="G41" s="31"/>
      <c r="H41" s="32"/>
    </row>
    <row r="42" spans="1:8" ht="21.6" customHeight="1" thickBot="1" x14ac:dyDescent="0.35">
      <c r="A42" s="250" t="s">
        <v>49</v>
      </c>
      <c r="B42" s="239"/>
      <c r="C42" s="70">
        <v>6335.73</v>
      </c>
      <c r="D42" s="6">
        <f t="shared" si="3"/>
        <v>5.7597545454545447</v>
      </c>
      <c r="E42" s="20">
        <f t="shared" si="4"/>
        <v>6.0216323918459373E-2</v>
      </c>
      <c r="F42" s="30"/>
      <c r="G42" s="31"/>
      <c r="H42" s="32"/>
    </row>
    <row r="43" spans="1:8" ht="21.6" customHeight="1" thickBot="1" x14ac:dyDescent="0.35">
      <c r="A43" s="242" t="s">
        <v>50</v>
      </c>
      <c r="B43" s="243"/>
      <c r="C43" s="42">
        <f>SUM(C30:C42)</f>
        <v>46732.76999999999</v>
      </c>
      <c r="D43" s="45">
        <f t="shared" si="3"/>
        <v>42.484336363636352</v>
      </c>
      <c r="E43" s="53">
        <f>SUM(E30:E42)</f>
        <v>0.44415964946846875</v>
      </c>
      <c r="F43" s="30"/>
      <c r="G43" s="33"/>
      <c r="H43" s="34"/>
    </row>
    <row r="44" spans="1:8" ht="23.45" customHeight="1" thickBot="1" x14ac:dyDescent="0.4">
      <c r="A44" s="244" t="s">
        <v>51</v>
      </c>
      <c r="B44" s="245"/>
      <c r="C44" s="246">
        <f>C28+C43+C16</f>
        <v>105216.15382199999</v>
      </c>
      <c r="D44" s="233">
        <f>C44/F45</f>
        <v>95.651048929090905</v>
      </c>
      <c r="E44" s="235">
        <f>SUM(E43,E28,E16)</f>
        <v>1</v>
      </c>
      <c r="F44" s="35"/>
      <c r="G44" s="36"/>
      <c r="H44" s="37"/>
    </row>
    <row r="45" spans="1:8" ht="23.45" customHeight="1" thickBot="1" x14ac:dyDescent="0.3">
      <c r="A45" s="237" t="s">
        <v>52</v>
      </c>
      <c r="B45" s="238"/>
      <c r="C45" s="247"/>
      <c r="D45" s="234"/>
      <c r="E45" s="236"/>
      <c r="F45" s="38">
        <v>1100</v>
      </c>
      <c r="G45" s="72">
        <v>1100</v>
      </c>
      <c r="H45" s="39"/>
    </row>
  </sheetData>
  <mergeCells count="50">
    <mergeCell ref="E44:E45"/>
    <mergeCell ref="A45:B4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C44:C45"/>
    <mergeCell ref="D44:D45"/>
    <mergeCell ref="A35:B35"/>
    <mergeCell ref="G24:H24"/>
    <mergeCell ref="F26:H26"/>
    <mergeCell ref="F27:H27"/>
    <mergeCell ref="A28:B28"/>
    <mergeCell ref="F28:H28"/>
    <mergeCell ref="A29:H29"/>
    <mergeCell ref="A30:B30"/>
    <mergeCell ref="A31:B31"/>
    <mergeCell ref="A32:B32"/>
    <mergeCell ref="A33:B33"/>
    <mergeCell ref="A34:B34"/>
    <mergeCell ref="F23:H23"/>
    <mergeCell ref="F13:H13"/>
    <mergeCell ref="F14:H14"/>
    <mergeCell ref="F15:H15"/>
    <mergeCell ref="A16:B16"/>
    <mergeCell ref="F16:H16"/>
    <mergeCell ref="A17:A18"/>
    <mergeCell ref="F17:G17"/>
    <mergeCell ref="G19:H19"/>
    <mergeCell ref="A20:A21"/>
    <mergeCell ref="G20:H20"/>
    <mergeCell ref="G21:H21"/>
    <mergeCell ref="F22:H22"/>
    <mergeCell ref="F12:H12"/>
    <mergeCell ref="A1:H1"/>
    <mergeCell ref="A2:H2"/>
    <mergeCell ref="A3:H3"/>
    <mergeCell ref="A4:H4"/>
    <mergeCell ref="A5:H5"/>
    <mergeCell ref="F6:H6"/>
    <mergeCell ref="A7:H7"/>
    <mergeCell ref="F8:H8"/>
    <mergeCell ref="F9:H9"/>
    <mergeCell ref="F10:H10"/>
    <mergeCell ref="F11:H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DE21-CC37-4568-B54F-1883682CD445}">
  <sheetPr>
    <pageSetUpPr fitToPage="1"/>
  </sheetPr>
  <dimension ref="A1:Q49"/>
  <sheetViews>
    <sheetView topLeftCell="A7" zoomScale="51" zoomScaleNormal="51" workbookViewId="0">
      <selection activeCell="C10" sqref="C10"/>
    </sheetView>
  </sheetViews>
  <sheetFormatPr defaultRowHeight="15" x14ac:dyDescent="0.25"/>
  <cols>
    <col min="1" max="1" width="19.28515625" customWidth="1"/>
    <col min="2" max="2" width="73.28515625" customWidth="1"/>
    <col min="3" max="3" width="27.140625" customWidth="1"/>
    <col min="4" max="4" width="26.28515625" customWidth="1"/>
    <col min="5" max="5" width="17.28515625" customWidth="1"/>
    <col min="6" max="6" width="65.42578125" hidden="1" customWidth="1"/>
    <col min="7" max="7" width="49.7109375" hidden="1" customWidth="1"/>
    <col min="8" max="8" width="14.85546875" hidden="1" customWidth="1"/>
    <col min="9" max="9" width="13.7109375" customWidth="1"/>
    <col min="10" max="10" width="22.42578125" customWidth="1"/>
    <col min="11" max="11" width="73.28515625" customWidth="1"/>
    <col min="12" max="12" width="36.28515625" customWidth="1"/>
    <col min="13" max="13" width="26.28515625" customWidth="1"/>
    <col min="14" max="14" width="17.42578125" customWidth="1"/>
    <col min="15" max="15" width="72.42578125" hidden="1" customWidth="1"/>
    <col min="16" max="16" width="49.7109375" hidden="1" customWidth="1"/>
    <col min="17" max="17" width="22.5703125" hidden="1" customWidth="1"/>
  </cols>
  <sheetData>
    <row r="1" spans="1:17" ht="33" x14ac:dyDescent="0.45">
      <c r="A1" s="290" t="s">
        <v>0</v>
      </c>
      <c r="B1" s="290"/>
      <c r="C1" s="290"/>
      <c r="D1" s="290"/>
      <c r="E1" s="290"/>
      <c r="F1" s="290"/>
      <c r="G1" s="290"/>
      <c r="H1" s="290"/>
      <c r="J1" s="290" t="s">
        <v>0</v>
      </c>
      <c r="K1" s="290"/>
      <c r="L1" s="290"/>
      <c r="M1" s="290"/>
      <c r="N1" s="290"/>
      <c r="O1" s="290"/>
      <c r="P1" s="290"/>
      <c r="Q1" s="290"/>
    </row>
    <row r="2" spans="1:17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  <c r="J2" s="291" t="s">
        <v>1</v>
      </c>
      <c r="K2" s="291"/>
      <c r="L2" s="291"/>
      <c r="M2" s="291"/>
      <c r="N2" s="291"/>
      <c r="O2" s="291"/>
      <c r="P2" s="291"/>
      <c r="Q2" s="291"/>
    </row>
    <row r="3" spans="1:17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  <c r="J3" s="291" t="s">
        <v>2</v>
      </c>
      <c r="K3" s="291"/>
      <c r="L3" s="291"/>
      <c r="M3" s="291"/>
      <c r="N3" s="291"/>
      <c r="O3" s="291"/>
      <c r="P3" s="291"/>
      <c r="Q3" s="291"/>
    </row>
    <row r="4" spans="1:17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  <c r="J4" s="291" t="s">
        <v>3</v>
      </c>
      <c r="K4" s="291"/>
      <c r="L4" s="291"/>
      <c r="M4" s="291"/>
      <c r="N4" s="291"/>
      <c r="O4" s="291"/>
      <c r="P4" s="291"/>
      <c r="Q4" s="291"/>
    </row>
    <row r="5" spans="1:17" ht="16.5" thickBot="1" x14ac:dyDescent="0.3">
      <c r="A5" s="326"/>
      <c r="B5" s="326"/>
      <c r="C5" s="326"/>
      <c r="D5" s="326"/>
      <c r="E5" s="326"/>
      <c r="F5" s="292"/>
      <c r="G5" s="292"/>
      <c r="H5" s="292"/>
      <c r="J5" s="326"/>
      <c r="K5" s="326"/>
      <c r="L5" s="326"/>
      <c r="M5" s="326"/>
      <c r="N5" s="326"/>
      <c r="O5" s="326"/>
      <c r="P5" s="326"/>
      <c r="Q5" s="326"/>
    </row>
    <row r="6" spans="1:17" s="51" customFormat="1" ht="122.25" thickBot="1" x14ac:dyDescent="0.4">
      <c r="A6" s="101" t="s">
        <v>4</v>
      </c>
      <c r="B6" s="101" t="s">
        <v>5</v>
      </c>
      <c r="C6" s="101" t="s">
        <v>6</v>
      </c>
      <c r="D6" s="101" t="s">
        <v>7</v>
      </c>
      <c r="E6" s="101" t="s">
        <v>8</v>
      </c>
      <c r="F6" s="294" t="s">
        <v>9</v>
      </c>
      <c r="G6" s="294"/>
      <c r="H6" s="295"/>
      <c r="J6" s="101" t="s">
        <v>4</v>
      </c>
      <c r="K6" s="101" t="s">
        <v>5</v>
      </c>
      <c r="L6" s="101" t="s">
        <v>6</v>
      </c>
      <c r="M6" s="101" t="s">
        <v>7</v>
      </c>
      <c r="N6" s="101" t="s">
        <v>8</v>
      </c>
      <c r="O6" s="327" t="s">
        <v>9</v>
      </c>
      <c r="P6" s="327"/>
      <c r="Q6" s="327"/>
    </row>
    <row r="7" spans="1:17" s="93" customFormat="1" ht="22.9" customHeight="1" thickBot="1" x14ac:dyDescent="0.3">
      <c r="A7" s="328" t="s">
        <v>10</v>
      </c>
      <c r="B7" s="328"/>
      <c r="C7" s="328"/>
      <c r="D7" s="328"/>
      <c r="E7" s="328"/>
      <c r="F7" s="98"/>
      <c r="G7" s="94"/>
      <c r="H7" s="95"/>
      <c r="J7" s="328" t="s">
        <v>10</v>
      </c>
      <c r="K7" s="328"/>
      <c r="L7" s="328"/>
      <c r="M7" s="328"/>
      <c r="N7" s="328"/>
      <c r="O7" s="328"/>
      <c r="P7" s="328"/>
      <c r="Q7" s="328"/>
    </row>
    <row r="8" spans="1:17" ht="20.25" x14ac:dyDescent="0.25">
      <c r="A8" s="58">
        <v>1100</v>
      </c>
      <c r="B8" s="17" t="s">
        <v>11</v>
      </c>
      <c r="C8" s="5">
        <v>749.62</v>
      </c>
      <c r="D8" s="6">
        <f t="shared" ref="D8:D16" si="0">C8/$G$47</f>
        <v>0.68085376930063579</v>
      </c>
      <c r="E8" s="20">
        <f>C8/106872.63</f>
        <v>7.0141438458097265E-3</v>
      </c>
      <c r="F8" s="299">
        <v>1013</v>
      </c>
      <c r="G8" s="300"/>
      <c r="H8" s="301"/>
      <c r="J8" s="58">
        <v>1100</v>
      </c>
      <c r="K8" s="17" t="s">
        <v>11</v>
      </c>
      <c r="L8" s="5">
        <v>749.62</v>
      </c>
      <c r="M8" s="108">
        <f>L8/$P$47</f>
        <v>0.68147272727272723</v>
      </c>
      <c r="N8" s="20">
        <f>L8/$L$46</f>
        <v>7.5131990770773253E-3</v>
      </c>
      <c r="O8" s="282">
        <v>1013</v>
      </c>
      <c r="P8" s="282"/>
      <c r="Q8" s="282"/>
    </row>
    <row r="9" spans="1:17" ht="20.25" x14ac:dyDescent="0.25">
      <c r="A9" s="58">
        <v>1100</v>
      </c>
      <c r="B9" s="17" t="s">
        <v>12</v>
      </c>
      <c r="C9" s="5">
        <v>749.62</v>
      </c>
      <c r="D9" s="6">
        <f t="shared" si="0"/>
        <v>0.68085376930063579</v>
      </c>
      <c r="E9" s="20">
        <f t="shared" ref="E9:E28" si="1">C9/106872.63</f>
        <v>7.0141438458097265E-3</v>
      </c>
      <c r="F9" s="281">
        <v>1013</v>
      </c>
      <c r="G9" s="282"/>
      <c r="H9" s="283"/>
      <c r="J9" s="58">
        <v>1100</v>
      </c>
      <c r="K9" s="17" t="s">
        <v>12</v>
      </c>
      <c r="L9" s="5">
        <v>749.62</v>
      </c>
      <c r="M9" s="108">
        <f>L9/$P$47</f>
        <v>0.68147272727272723</v>
      </c>
      <c r="N9" s="20">
        <f t="shared" ref="N9:N16" si="2">L9/$L$46</f>
        <v>7.5131990770773253E-3</v>
      </c>
      <c r="O9" s="282">
        <v>1013</v>
      </c>
      <c r="P9" s="282"/>
      <c r="Q9" s="282"/>
    </row>
    <row r="10" spans="1:17" ht="37.5" x14ac:dyDescent="0.25">
      <c r="A10" s="102">
        <v>1100</v>
      </c>
      <c r="B10" s="84" t="s">
        <v>13</v>
      </c>
      <c r="C10" s="85">
        <v>20160</v>
      </c>
      <c r="D10" s="86">
        <f t="shared" si="0"/>
        <v>18.310626702997276</v>
      </c>
      <c r="E10" s="88">
        <f t="shared" si="1"/>
        <v>0.18863576202812637</v>
      </c>
      <c r="F10" s="302">
        <v>700</v>
      </c>
      <c r="G10" s="303"/>
      <c r="H10" s="304"/>
      <c r="J10" s="102">
        <v>1100</v>
      </c>
      <c r="K10" s="84" t="s">
        <v>61</v>
      </c>
      <c r="L10" s="91">
        <v>5040</v>
      </c>
      <c r="M10" s="124">
        <f>L10/$P$47</f>
        <v>4.581818181818182</v>
      </c>
      <c r="N10" s="88">
        <f t="shared" si="2"/>
        <v>5.0514291705757206E-2</v>
      </c>
      <c r="O10" s="309">
        <v>700</v>
      </c>
      <c r="P10" s="309"/>
      <c r="Q10" s="309"/>
    </row>
    <row r="11" spans="1:17" ht="37.5" x14ac:dyDescent="0.25">
      <c r="A11" s="58">
        <v>1100</v>
      </c>
      <c r="B11" s="17" t="s">
        <v>14</v>
      </c>
      <c r="C11" s="7">
        <v>1613.2</v>
      </c>
      <c r="D11" s="6">
        <f t="shared" si="0"/>
        <v>1.465213442325159</v>
      </c>
      <c r="E11" s="20">
        <f>C11/106872.63</f>
        <v>1.5094603735306224E-2</v>
      </c>
      <c r="F11" s="281">
        <v>1090</v>
      </c>
      <c r="G11" s="282"/>
      <c r="H11" s="283"/>
      <c r="J11" s="58">
        <v>1100</v>
      </c>
      <c r="K11" s="17" t="s">
        <v>14</v>
      </c>
      <c r="L11" s="7">
        <v>1613.2</v>
      </c>
      <c r="M11" s="108">
        <f>L11/$P$47</f>
        <v>1.4665454545454546</v>
      </c>
      <c r="N11" s="20">
        <f t="shared" si="2"/>
        <v>1.6168582416612606E-2</v>
      </c>
      <c r="O11" s="282">
        <v>1090</v>
      </c>
      <c r="P11" s="282"/>
      <c r="Q11" s="282"/>
    </row>
    <row r="12" spans="1:17" ht="37.5" x14ac:dyDescent="0.25">
      <c r="A12" s="102">
        <v>1100</v>
      </c>
      <c r="B12" s="84" t="s">
        <v>68</v>
      </c>
      <c r="C12" s="89">
        <v>747.3</v>
      </c>
      <c r="D12" s="86">
        <f t="shared" si="0"/>
        <v>0.67874659400544957</v>
      </c>
      <c r="E12" s="88">
        <f t="shared" si="1"/>
        <v>6.9924357620842672E-3</v>
      </c>
      <c r="F12" s="281">
        <v>780</v>
      </c>
      <c r="G12" s="282"/>
      <c r="H12" s="283"/>
      <c r="J12" s="58"/>
      <c r="K12" s="17"/>
      <c r="L12" s="7"/>
      <c r="M12" s="108"/>
      <c r="N12" s="20">
        <f t="shared" si="2"/>
        <v>0</v>
      </c>
      <c r="O12" s="59"/>
      <c r="P12" s="59"/>
      <c r="Q12" s="59"/>
    </row>
    <row r="13" spans="1:17" ht="20.25" x14ac:dyDescent="0.25">
      <c r="A13" s="58">
        <v>1100</v>
      </c>
      <c r="B13" s="17" t="s">
        <v>16</v>
      </c>
      <c r="C13" s="7">
        <v>76.52</v>
      </c>
      <c r="D13" s="6">
        <f t="shared" si="0"/>
        <v>6.950045413260672E-2</v>
      </c>
      <c r="E13" s="20">
        <f t="shared" si="1"/>
        <v>7.1599248563453512E-4</v>
      </c>
      <c r="F13" s="281">
        <v>1726</v>
      </c>
      <c r="G13" s="282"/>
      <c r="H13" s="283"/>
      <c r="J13" s="58">
        <v>1100</v>
      </c>
      <c r="K13" s="17" t="s">
        <v>16</v>
      </c>
      <c r="L13" s="7">
        <v>76.52</v>
      </c>
      <c r="M13" s="108">
        <f>L13/$P$47</f>
        <v>6.9563636363636355E-2</v>
      </c>
      <c r="N13" s="20">
        <f t="shared" si="2"/>
        <v>7.6693523835804397E-4</v>
      </c>
      <c r="O13" s="282">
        <v>1726</v>
      </c>
      <c r="P13" s="282"/>
      <c r="Q13" s="282"/>
    </row>
    <row r="14" spans="1:17" ht="37.5" x14ac:dyDescent="0.25">
      <c r="A14" s="58">
        <v>1100</v>
      </c>
      <c r="B14" s="17" t="s">
        <v>17</v>
      </c>
      <c r="C14" s="7">
        <v>26.07</v>
      </c>
      <c r="D14" s="6">
        <f t="shared" si="0"/>
        <v>2.3678474114441416E-2</v>
      </c>
      <c r="E14" s="20">
        <f t="shared" si="1"/>
        <v>2.439352339322051E-4</v>
      </c>
      <c r="F14" s="281">
        <v>1554</v>
      </c>
      <c r="G14" s="282"/>
      <c r="H14" s="283"/>
      <c r="J14" s="58">
        <v>1100</v>
      </c>
      <c r="K14" s="17" t="s">
        <v>17</v>
      </c>
      <c r="L14" s="7">
        <v>26.07</v>
      </c>
      <c r="M14" s="108">
        <f>L14/$P$47</f>
        <v>2.3699999999999999E-2</v>
      </c>
      <c r="N14" s="20">
        <f t="shared" si="2"/>
        <v>2.6129118745418458E-4</v>
      </c>
      <c r="O14" s="282">
        <v>1554</v>
      </c>
      <c r="P14" s="282"/>
      <c r="Q14" s="282"/>
    </row>
    <row r="15" spans="1:17" ht="20.25" x14ac:dyDescent="0.25">
      <c r="A15" s="58">
        <v>1100</v>
      </c>
      <c r="B15" s="17" t="s">
        <v>18</v>
      </c>
      <c r="C15" s="7">
        <v>28.95</v>
      </c>
      <c r="D15" s="6">
        <f t="shared" si="0"/>
        <v>2.6294277929155313E-2</v>
      </c>
      <c r="E15" s="20">
        <f t="shared" si="1"/>
        <v>2.7088319993622315E-4</v>
      </c>
      <c r="F15" s="281">
        <v>1726</v>
      </c>
      <c r="G15" s="282"/>
      <c r="H15" s="283"/>
      <c r="J15" s="58">
        <v>1100</v>
      </c>
      <c r="K15" s="17" t="s">
        <v>18</v>
      </c>
      <c r="L15" s="7">
        <v>28.95</v>
      </c>
      <c r="M15" s="108">
        <f>L15/$P$47</f>
        <v>2.6318181818181817E-2</v>
      </c>
      <c r="N15" s="20">
        <f t="shared" si="2"/>
        <v>2.9015649700033159E-4</v>
      </c>
      <c r="O15" s="282">
        <v>1726</v>
      </c>
      <c r="P15" s="282"/>
      <c r="Q15" s="282"/>
    </row>
    <row r="16" spans="1:17" ht="21.6" customHeight="1" x14ac:dyDescent="0.25">
      <c r="A16" s="102">
        <v>1200</v>
      </c>
      <c r="B16" s="84" t="s">
        <v>19</v>
      </c>
      <c r="C16" s="91">
        <f>SUM(C8:C15)*0.2359</f>
        <v>5697.2869520000004</v>
      </c>
      <c r="D16" s="86">
        <f t="shared" si="0"/>
        <v>5.1746475495004542</v>
      </c>
      <c r="E16" s="88">
        <f t="shared" si="1"/>
        <v>5.3309130242233209E-2</v>
      </c>
      <c r="F16" s="284"/>
      <c r="G16" s="285"/>
      <c r="H16" s="286"/>
      <c r="J16" s="102">
        <v>1200</v>
      </c>
      <c r="K16" s="84" t="s">
        <v>19</v>
      </c>
      <c r="L16" s="91">
        <f>SUM(L8:L15)*0.2359</f>
        <v>1954.1908819999999</v>
      </c>
      <c r="M16" s="124">
        <f>L16/$P$47</f>
        <v>1.7765371654545454</v>
      </c>
      <c r="N16" s="88">
        <f t="shared" si="2"/>
        <v>1.9586223861523602E-2</v>
      </c>
      <c r="O16" s="285"/>
      <c r="P16" s="285"/>
      <c r="Q16" s="285"/>
    </row>
    <row r="17" spans="1:17" ht="20.25" x14ac:dyDescent="0.25">
      <c r="A17" s="319" t="s">
        <v>20</v>
      </c>
      <c r="B17" s="319"/>
      <c r="C17" s="103">
        <f>SUM(C8:C16)</f>
        <v>29848.566952000001</v>
      </c>
      <c r="D17" s="104">
        <f>SUM(D8:D16)</f>
        <v>27.110415033605811</v>
      </c>
      <c r="E17" s="105">
        <f>SUM(E8:E16)</f>
        <v>0.27929103037887248</v>
      </c>
      <c r="F17" s="311"/>
      <c r="G17" s="288"/>
      <c r="H17" s="289"/>
      <c r="J17" s="319" t="s">
        <v>20</v>
      </c>
      <c r="K17" s="319"/>
      <c r="L17" s="103">
        <f>SUM(L8:L16)</f>
        <v>10238.170881999999</v>
      </c>
      <c r="M17" s="103">
        <f>SUM(M8:M16)</f>
        <v>9.3074280745454541</v>
      </c>
      <c r="N17" s="105">
        <f>SUM(N8:N16)</f>
        <v>0.10261387906086061</v>
      </c>
      <c r="O17" s="288"/>
      <c r="P17" s="288"/>
      <c r="Q17" s="288"/>
    </row>
    <row r="18" spans="1:17" ht="20.25" x14ac:dyDescent="0.25">
      <c r="A18" s="279">
        <v>2210</v>
      </c>
      <c r="B18" s="17" t="s">
        <v>21</v>
      </c>
      <c r="C18" s="5">
        <f>F18*H18</f>
        <v>60</v>
      </c>
      <c r="D18" s="6">
        <f t="shared" ref="D18:D28" si="3">C18/$G$47</f>
        <v>5.4495912806539509E-2</v>
      </c>
      <c r="E18" s="20">
        <f t="shared" si="1"/>
        <v>5.6141595841704278E-4</v>
      </c>
      <c r="F18" s="262">
        <v>5</v>
      </c>
      <c r="G18" s="263"/>
      <c r="H18" s="14">
        <v>12</v>
      </c>
      <c r="J18" s="279">
        <v>2210</v>
      </c>
      <c r="K18" s="17" t="s">
        <v>21</v>
      </c>
      <c r="L18" s="5">
        <f>O18*Q18</f>
        <v>60</v>
      </c>
      <c r="M18" s="108">
        <f t="shared" ref="M18:M28" si="4">L18/$P$47</f>
        <v>5.4545454545454543E-2</v>
      </c>
      <c r="N18" s="20">
        <f>L18/$L$46</f>
        <v>6.0136061554472869E-4</v>
      </c>
      <c r="O18" s="263">
        <v>5</v>
      </c>
      <c r="P18" s="263"/>
      <c r="Q18" s="109">
        <v>12</v>
      </c>
    </row>
    <row r="19" spans="1:17" ht="20.25" x14ac:dyDescent="0.25">
      <c r="A19" s="279"/>
      <c r="B19" s="15" t="s">
        <v>22</v>
      </c>
      <c r="C19" s="5">
        <f>F19*G19*H19</f>
        <v>576</v>
      </c>
      <c r="D19" s="6">
        <f t="shared" si="3"/>
        <v>0.52316076294277924</v>
      </c>
      <c r="E19" s="20">
        <f t="shared" si="1"/>
        <v>5.3895932008036105E-3</v>
      </c>
      <c r="F19" s="60">
        <v>16</v>
      </c>
      <c r="G19" s="16">
        <v>3</v>
      </c>
      <c r="H19" s="14">
        <v>12</v>
      </c>
      <c r="J19" s="279"/>
      <c r="K19" s="15" t="s">
        <v>22</v>
      </c>
      <c r="L19" s="5">
        <f>O19*P19*Q19</f>
        <v>576</v>
      </c>
      <c r="M19" s="108">
        <f t="shared" si="4"/>
        <v>0.52363636363636368</v>
      </c>
      <c r="N19" s="20">
        <f t="shared" ref="N19:N28" si="5">L19/$L$46</f>
        <v>5.7730619092293952E-3</v>
      </c>
      <c r="O19" s="110">
        <v>16</v>
      </c>
      <c r="P19" s="16">
        <v>3</v>
      </c>
      <c r="Q19" s="109">
        <v>12</v>
      </c>
    </row>
    <row r="20" spans="1:17" ht="20.25" x14ac:dyDescent="0.25">
      <c r="A20" s="58">
        <v>2222</v>
      </c>
      <c r="B20" s="17" t="s">
        <v>23</v>
      </c>
      <c r="C20" s="5">
        <f>F20*G20</f>
        <v>11.6</v>
      </c>
      <c r="D20" s="6">
        <f t="shared" si="3"/>
        <v>1.0535876475930971E-2</v>
      </c>
      <c r="E20" s="20">
        <f t="shared" si="1"/>
        <v>1.0854041862729493E-4</v>
      </c>
      <c r="F20" s="61">
        <v>8</v>
      </c>
      <c r="G20" s="264">
        <v>1.45</v>
      </c>
      <c r="H20" s="265"/>
      <c r="J20" s="58">
        <v>2222</v>
      </c>
      <c r="K20" s="17" t="s">
        <v>23</v>
      </c>
      <c r="L20" s="5">
        <f>O20*P20</f>
        <v>11.6</v>
      </c>
      <c r="M20" s="108">
        <f t="shared" si="4"/>
        <v>1.0545454545454545E-2</v>
      </c>
      <c r="N20" s="20">
        <f t="shared" si="5"/>
        <v>1.1626305233864754E-4</v>
      </c>
      <c r="O20" s="111">
        <v>8</v>
      </c>
      <c r="P20" s="264">
        <v>1.45</v>
      </c>
      <c r="Q20" s="264"/>
    </row>
    <row r="21" spans="1:17" ht="20.25" x14ac:dyDescent="0.25">
      <c r="A21" s="279">
        <v>2223</v>
      </c>
      <c r="B21" s="15" t="s">
        <v>24</v>
      </c>
      <c r="C21" s="5">
        <f>F21*G21</f>
        <v>3116.7929400000003</v>
      </c>
      <c r="D21" s="6">
        <f t="shared" si="3"/>
        <v>2.8308746049046323</v>
      </c>
      <c r="E21" s="20">
        <f t="shared" si="1"/>
        <v>2.9163621593292877E-2</v>
      </c>
      <c r="F21" s="87">
        <v>24762</v>
      </c>
      <c r="G21" s="266">
        <v>0.12587000000000001</v>
      </c>
      <c r="H21" s="267"/>
      <c r="J21" s="279">
        <v>2223</v>
      </c>
      <c r="K21" s="15" t="s">
        <v>24</v>
      </c>
      <c r="L21" s="5">
        <f>O21*P21</f>
        <v>3116.7929400000003</v>
      </c>
      <c r="M21" s="108">
        <f t="shared" si="4"/>
        <v>2.8334481272727277</v>
      </c>
      <c r="N21" s="20">
        <f t="shared" si="5"/>
        <v>3.1238608682064413E-2</v>
      </c>
      <c r="O21" s="112">
        <v>24762</v>
      </c>
      <c r="P21" s="266">
        <v>0.12587000000000001</v>
      </c>
      <c r="Q21" s="266"/>
    </row>
    <row r="22" spans="1:17" ht="24.6" customHeight="1" x14ac:dyDescent="0.25">
      <c r="A22" s="279"/>
      <c r="B22" s="15" t="s">
        <v>25</v>
      </c>
      <c r="C22" s="5">
        <f>F22*G22</f>
        <v>787.19999999999993</v>
      </c>
      <c r="D22" s="6">
        <f t="shared" si="3"/>
        <v>0.71498637602179826</v>
      </c>
      <c r="E22" s="20">
        <f t="shared" si="1"/>
        <v>7.3657773744316007E-3</v>
      </c>
      <c r="F22" s="63">
        <v>12</v>
      </c>
      <c r="G22" s="268">
        <v>65.599999999999994</v>
      </c>
      <c r="H22" s="269"/>
      <c r="J22" s="279"/>
      <c r="K22" s="15" t="s">
        <v>25</v>
      </c>
      <c r="L22" s="5">
        <f>O22*P22</f>
        <v>787.19999999999993</v>
      </c>
      <c r="M22" s="108">
        <f t="shared" si="4"/>
        <v>0.71563636363636363</v>
      </c>
      <c r="N22" s="20">
        <f t="shared" si="5"/>
        <v>7.8898512759468398E-3</v>
      </c>
      <c r="O22" s="109">
        <v>12</v>
      </c>
      <c r="P22" s="268">
        <v>65.599999999999994</v>
      </c>
      <c r="Q22" s="268"/>
    </row>
    <row r="23" spans="1:17" ht="37.5" x14ac:dyDescent="0.25">
      <c r="A23" s="58">
        <v>2243</v>
      </c>
      <c r="B23" s="17" t="s">
        <v>63</v>
      </c>
      <c r="C23" s="5">
        <v>500</v>
      </c>
      <c r="D23" s="6">
        <f t="shared" si="3"/>
        <v>0.45413260672116257</v>
      </c>
      <c r="E23" s="20">
        <f t="shared" si="1"/>
        <v>4.6784663201420232E-3</v>
      </c>
      <c r="F23" s="270" t="s">
        <v>27</v>
      </c>
      <c r="G23" s="271"/>
      <c r="H23" s="272"/>
      <c r="J23" s="58">
        <v>2243</v>
      </c>
      <c r="K23" s="17" t="s">
        <v>64</v>
      </c>
      <c r="L23" s="5">
        <v>2500</v>
      </c>
      <c r="M23" s="108">
        <f t="shared" si="4"/>
        <v>2.2727272727272729</v>
      </c>
      <c r="N23" s="20">
        <f t="shared" si="5"/>
        <v>2.5056692314363693E-2</v>
      </c>
      <c r="O23" s="271" t="s">
        <v>27</v>
      </c>
      <c r="P23" s="271"/>
      <c r="Q23" s="271"/>
    </row>
    <row r="24" spans="1:17" ht="20.25" x14ac:dyDescent="0.25">
      <c r="A24" s="58">
        <v>2310</v>
      </c>
      <c r="B24" s="17" t="s">
        <v>28</v>
      </c>
      <c r="C24" s="5">
        <v>40</v>
      </c>
      <c r="D24" s="6">
        <f t="shared" si="3"/>
        <v>3.6330608537693009E-2</v>
      </c>
      <c r="E24" s="20">
        <f t="shared" si="1"/>
        <v>3.7427730561136185E-4</v>
      </c>
      <c r="F24" s="270" t="s">
        <v>29</v>
      </c>
      <c r="G24" s="271"/>
      <c r="H24" s="272"/>
      <c r="J24" s="58">
        <v>2310</v>
      </c>
      <c r="K24" s="17" t="s">
        <v>28</v>
      </c>
      <c r="L24" s="5">
        <v>40</v>
      </c>
      <c r="M24" s="108">
        <f t="shared" si="4"/>
        <v>3.6363636363636362E-2</v>
      </c>
      <c r="N24" s="20">
        <f t="shared" si="5"/>
        <v>4.0090707702981909E-4</v>
      </c>
      <c r="O24" s="271" t="s">
        <v>29</v>
      </c>
      <c r="P24" s="271"/>
      <c r="Q24" s="271"/>
    </row>
    <row r="25" spans="1:17" ht="37.5" x14ac:dyDescent="0.25">
      <c r="A25" s="102">
        <v>2321</v>
      </c>
      <c r="B25" s="84" t="s">
        <v>66</v>
      </c>
      <c r="C25" s="91">
        <f>F25*G25</f>
        <v>54000</v>
      </c>
      <c r="D25" s="86">
        <f t="shared" si="3"/>
        <v>49.04632152588556</v>
      </c>
      <c r="E25" s="88">
        <f t="shared" si="1"/>
        <v>0.50527436257533853</v>
      </c>
      <c r="F25" s="92">
        <v>1200</v>
      </c>
      <c r="G25" s="273">
        <v>45</v>
      </c>
      <c r="H25" s="274"/>
      <c r="J25" s="102">
        <v>2321</v>
      </c>
      <c r="K25" s="84" t="s">
        <v>62</v>
      </c>
      <c r="L25" s="91">
        <f>O25*P25</f>
        <v>40625</v>
      </c>
      <c r="M25" s="124">
        <f t="shared" si="4"/>
        <v>36.93181818181818</v>
      </c>
      <c r="N25" s="88">
        <f t="shared" si="5"/>
        <v>0.40717125010841004</v>
      </c>
      <c r="O25" s="113">
        <v>1625</v>
      </c>
      <c r="P25" s="313">
        <v>25</v>
      </c>
      <c r="Q25" s="313"/>
    </row>
    <row r="26" spans="1:17" ht="20.25" x14ac:dyDescent="0.25">
      <c r="A26" s="58">
        <v>2322</v>
      </c>
      <c r="B26" s="17" t="s">
        <v>65</v>
      </c>
      <c r="C26" s="5">
        <v>500</v>
      </c>
      <c r="D26" s="6">
        <f t="shared" si="3"/>
        <v>0.45413260672116257</v>
      </c>
      <c r="E26" s="20">
        <f t="shared" si="1"/>
        <v>4.6784663201420232E-3</v>
      </c>
      <c r="F26" s="64" t="s">
        <v>32</v>
      </c>
      <c r="G26" s="18"/>
      <c r="H26" s="19"/>
      <c r="J26" s="102">
        <v>2322</v>
      </c>
      <c r="K26" s="84" t="s">
        <v>31</v>
      </c>
      <c r="L26" s="91">
        <v>2000</v>
      </c>
      <c r="M26" s="124">
        <f t="shared" si="4"/>
        <v>1.8181818181818181</v>
      </c>
      <c r="N26" s="88">
        <f t="shared" si="5"/>
        <v>2.0045353851490956E-2</v>
      </c>
      <c r="O26" s="114"/>
      <c r="P26" s="66"/>
      <c r="Q26" s="66"/>
    </row>
    <row r="27" spans="1:17" ht="37.5" x14ac:dyDescent="0.25">
      <c r="A27" s="58">
        <v>2350</v>
      </c>
      <c r="B27" s="17" t="s">
        <v>67</v>
      </c>
      <c r="C27" s="5">
        <v>250</v>
      </c>
      <c r="D27" s="6">
        <f t="shared" si="3"/>
        <v>0.22706630336058128</v>
      </c>
      <c r="E27" s="20">
        <f t="shared" si="1"/>
        <v>2.3392331600710116E-3</v>
      </c>
      <c r="F27" s="275" t="s">
        <v>34</v>
      </c>
      <c r="G27" s="276"/>
      <c r="H27" s="277"/>
      <c r="J27" s="102">
        <v>2350</v>
      </c>
      <c r="K27" s="84" t="s">
        <v>33</v>
      </c>
      <c r="L27" s="91">
        <v>100</v>
      </c>
      <c r="M27" s="124">
        <f t="shared" si="4"/>
        <v>9.0909090909090912E-2</v>
      </c>
      <c r="N27" s="88">
        <f t="shared" si="5"/>
        <v>1.0022676925745477E-3</v>
      </c>
      <c r="O27" s="276" t="s">
        <v>56</v>
      </c>
      <c r="P27" s="276"/>
      <c r="Q27" s="276"/>
    </row>
    <row r="28" spans="1:17" ht="21.6" customHeight="1" x14ac:dyDescent="0.25">
      <c r="A28" s="58">
        <v>2515</v>
      </c>
      <c r="B28" s="17" t="s">
        <v>35</v>
      </c>
      <c r="C28" s="5">
        <v>428.62</v>
      </c>
      <c r="D28" s="6">
        <f t="shared" si="3"/>
        <v>0.38930063578564944</v>
      </c>
      <c r="E28" s="20">
        <f t="shared" si="1"/>
        <v>4.0105684682785478E-3</v>
      </c>
      <c r="F28" s="278"/>
      <c r="G28" s="279"/>
      <c r="H28" s="280"/>
      <c r="J28" s="58">
        <v>2515</v>
      </c>
      <c r="K28" s="17" t="s">
        <v>35</v>
      </c>
      <c r="L28" s="5">
        <v>428.62</v>
      </c>
      <c r="M28" s="108">
        <f t="shared" si="4"/>
        <v>0.38965454545454548</v>
      </c>
      <c r="N28" s="20">
        <f t="shared" si="5"/>
        <v>4.295919783913027E-3</v>
      </c>
      <c r="O28" s="279"/>
      <c r="P28" s="279"/>
      <c r="Q28" s="279"/>
    </row>
    <row r="29" spans="1:17" ht="22.9" customHeight="1" thickBot="1" x14ac:dyDescent="0.3">
      <c r="A29" s="319" t="s">
        <v>36</v>
      </c>
      <c r="B29" s="319"/>
      <c r="C29" s="106">
        <f>SUM(C18:C28)</f>
        <v>60270.212940000005</v>
      </c>
      <c r="D29" s="104">
        <f>C29/$G$47</f>
        <v>54.741337820163494</v>
      </c>
      <c r="E29" s="105">
        <f>SUM(E18:E28)</f>
        <v>0.56394432269515593</v>
      </c>
      <c r="F29" s="329"/>
      <c r="G29" s="258"/>
      <c r="H29" s="259"/>
      <c r="J29" s="319" t="s">
        <v>36</v>
      </c>
      <c r="K29" s="319"/>
      <c r="L29" s="106">
        <f>SUM(L18:L28)</f>
        <v>50245.212940000005</v>
      </c>
      <c r="M29" s="106">
        <f>SUM(M18:M28)</f>
        <v>45.677466309090917</v>
      </c>
      <c r="N29" s="105">
        <f>SUM(N18:N28)</f>
        <v>0.50359153636290621</v>
      </c>
      <c r="O29" s="279"/>
      <c r="P29" s="279"/>
      <c r="Q29" s="279"/>
    </row>
    <row r="30" spans="1:17" ht="22.9" customHeight="1" thickBot="1" x14ac:dyDescent="0.3">
      <c r="A30" s="318" t="s">
        <v>37</v>
      </c>
      <c r="B30" s="318"/>
      <c r="C30" s="318"/>
      <c r="D30" s="318"/>
      <c r="E30" s="318"/>
      <c r="F30" s="96"/>
      <c r="G30" s="96"/>
      <c r="H30" s="97"/>
      <c r="J30" s="318" t="s">
        <v>37</v>
      </c>
      <c r="K30" s="318"/>
      <c r="L30" s="318"/>
      <c r="M30" s="318"/>
      <c r="N30" s="318"/>
      <c r="O30" s="318"/>
      <c r="P30" s="318"/>
      <c r="Q30" s="318"/>
    </row>
    <row r="31" spans="1:17" ht="42" customHeight="1" x14ac:dyDescent="0.3">
      <c r="A31" s="239" t="s">
        <v>38</v>
      </c>
      <c r="B31" s="239"/>
      <c r="C31" s="5">
        <v>334.92</v>
      </c>
      <c r="D31" s="6">
        <f t="shared" ref="D31:D45" si="6">C31/$G$47</f>
        <v>0.30419618528610354</v>
      </c>
      <c r="E31" s="20">
        <f t="shared" ref="E31:E44" si="7">C31/106872.63</f>
        <v>3.1338238798839331E-3</v>
      </c>
      <c r="F31" s="23"/>
      <c r="G31" s="24"/>
      <c r="H31" s="25"/>
      <c r="J31" s="239" t="s">
        <v>38</v>
      </c>
      <c r="K31" s="239"/>
      <c r="L31" s="5">
        <v>334.92</v>
      </c>
      <c r="M31" s="108">
        <f t="shared" ref="M31:M42" si="8">L31/$P$47</f>
        <v>0.30447272727272728</v>
      </c>
      <c r="N31" s="20">
        <f t="shared" ref="N31:N42" si="9">L31/$L$46</f>
        <v>3.3567949559706756E-3</v>
      </c>
      <c r="O31" s="58"/>
      <c r="P31" s="115"/>
      <c r="Q31" s="115"/>
    </row>
    <row r="32" spans="1:17" ht="40.9" customHeight="1" x14ac:dyDescent="0.3">
      <c r="A32" s="325" t="s">
        <v>53</v>
      </c>
      <c r="B32" s="325"/>
      <c r="C32" s="107">
        <v>10000</v>
      </c>
      <c r="D32" s="56">
        <f t="shared" si="6"/>
        <v>9.0826521344232525</v>
      </c>
      <c r="E32" s="54">
        <f t="shared" si="7"/>
        <v>9.3569326402840464E-2</v>
      </c>
      <c r="F32" s="27"/>
      <c r="G32" s="28"/>
      <c r="H32" s="29"/>
      <c r="J32" s="325" t="s">
        <v>58</v>
      </c>
      <c r="K32" s="325"/>
      <c r="L32" s="116">
        <v>31681.19</v>
      </c>
      <c r="M32" s="122">
        <f>L32/$P$47</f>
        <v>28.801081818181817</v>
      </c>
      <c r="N32" s="54">
        <f t="shared" si="9"/>
        <v>0.31753033199315833</v>
      </c>
      <c r="O32" s="58"/>
      <c r="P32" s="115"/>
      <c r="Q32" s="115"/>
    </row>
    <row r="33" spans="1:17" ht="39" customHeight="1" x14ac:dyDescent="0.3">
      <c r="A33" s="239" t="s">
        <v>39</v>
      </c>
      <c r="B33" s="239"/>
      <c r="C33" s="5">
        <v>93.24</v>
      </c>
      <c r="D33" s="6">
        <f t="shared" si="6"/>
        <v>8.4686648501362399E-2</v>
      </c>
      <c r="E33" s="20">
        <f t="shared" si="7"/>
        <v>8.7244039938008439E-4</v>
      </c>
      <c r="F33" s="30"/>
      <c r="G33" s="31"/>
      <c r="H33" s="32"/>
      <c r="J33" s="239" t="s">
        <v>39</v>
      </c>
      <c r="K33" s="239"/>
      <c r="L33" s="5">
        <v>93.24</v>
      </c>
      <c r="M33" s="108">
        <f t="shared" si="8"/>
        <v>8.476363636363636E-2</v>
      </c>
      <c r="N33" s="20">
        <f t="shared" si="9"/>
        <v>9.3451439655650834E-4</v>
      </c>
      <c r="O33" s="58"/>
      <c r="P33" s="115"/>
      <c r="Q33" s="115"/>
    </row>
    <row r="34" spans="1:17" ht="39" customHeight="1" x14ac:dyDescent="0.3">
      <c r="A34" s="239" t="s">
        <v>40</v>
      </c>
      <c r="B34" s="239"/>
      <c r="C34" s="5">
        <v>93.24</v>
      </c>
      <c r="D34" s="6">
        <f t="shared" si="6"/>
        <v>8.4686648501362399E-2</v>
      </c>
      <c r="E34" s="20">
        <f t="shared" si="7"/>
        <v>8.7244039938008439E-4</v>
      </c>
      <c r="F34" s="30"/>
      <c r="G34" s="31"/>
      <c r="H34" s="32"/>
      <c r="J34" s="239" t="s">
        <v>40</v>
      </c>
      <c r="K34" s="239"/>
      <c r="L34" s="5">
        <v>93.24</v>
      </c>
      <c r="M34" s="108">
        <f t="shared" si="8"/>
        <v>8.476363636363636E-2</v>
      </c>
      <c r="N34" s="20">
        <f t="shared" si="9"/>
        <v>9.3451439655650834E-4</v>
      </c>
      <c r="O34" s="58"/>
      <c r="P34" s="115"/>
      <c r="Q34" s="115"/>
    </row>
    <row r="35" spans="1:17" ht="39" customHeight="1" x14ac:dyDescent="0.3">
      <c r="A35" s="239" t="s">
        <v>40</v>
      </c>
      <c r="B35" s="239"/>
      <c r="C35" s="5">
        <v>93.24</v>
      </c>
      <c r="D35" s="6">
        <f t="shared" si="6"/>
        <v>8.4686648501362399E-2</v>
      </c>
      <c r="E35" s="20">
        <f t="shared" si="7"/>
        <v>8.7244039938008439E-4</v>
      </c>
      <c r="F35" s="30"/>
      <c r="G35" s="31"/>
      <c r="H35" s="32"/>
      <c r="J35" s="239" t="s">
        <v>40</v>
      </c>
      <c r="K35" s="239"/>
      <c r="L35" s="5">
        <v>93.24</v>
      </c>
      <c r="M35" s="108">
        <f t="shared" si="8"/>
        <v>8.476363636363636E-2</v>
      </c>
      <c r="N35" s="20">
        <f t="shared" si="9"/>
        <v>9.3451439655650834E-4</v>
      </c>
      <c r="O35" s="58"/>
      <c r="P35" s="115"/>
      <c r="Q35" s="115"/>
    </row>
    <row r="36" spans="1:17" ht="39" customHeight="1" x14ac:dyDescent="0.3">
      <c r="A36" s="239" t="s">
        <v>41</v>
      </c>
      <c r="B36" s="239"/>
      <c r="C36" s="5">
        <v>93.24</v>
      </c>
      <c r="D36" s="6">
        <f t="shared" si="6"/>
        <v>8.4686648501362399E-2</v>
      </c>
      <c r="E36" s="20">
        <f t="shared" si="7"/>
        <v>8.7244039938008439E-4</v>
      </c>
      <c r="F36" s="30"/>
      <c r="G36" s="31"/>
      <c r="H36" s="32"/>
      <c r="J36" s="239" t="s">
        <v>41</v>
      </c>
      <c r="K36" s="239"/>
      <c r="L36" s="5">
        <v>93.24</v>
      </c>
      <c r="M36" s="108">
        <f t="shared" si="8"/>
        <v>8.476363636363636E-2</v>
      </c>
      <c r="N36" s="20">
        <f t="shared" si="9"/>
        <v>9.3451439655650834E-4</v>
      </c>
      <c r="O36" s="58"/>
      <c r="P36" s="115"/>
      <c r="Q36" s="115"/>
    </row>
    <row r="37" spans="1:17" ht="39" customHeight="1" x14ac:dyDescent="0.3">
      <c r="A37" s="239" t="s">
        <v>42</v>
      </c>
      <c r="B37" s="239"/>
      <c r="C37" s="5">
        <v>35.64</v>
      </c>
      <c r="D37" s="6">
        <f t="shared" si="6"/>
        <v>3.2370572207084468E-2</v>
      </c>
      <c r="E37" s="20">
        <f t="shared" si="7"/>
        <v>3.3348107929972342E-4</v>
      </c>
      <c r="F37" s="30"/>
      <c r="G37" s="31"/>
      <c r="H37" s="32"/>
      <c r="J37" s="239" t="s">
        <v>42</v>
      </c>
      <c r="K37" s="239"/>
      <c r="L37" s="5">
        <v>35.64</v>
      </c>
      <c r="M37" s="108">
        <f t="shared" si="8"/>
        <v>3.2399999999999998E-2</v>
      </c>
      <c r="N37" s="20">
        <f t="shared" si="9"/>
        <v>3.5720820563356885E-4</v>
      </c>
      <c r="O37" s="58"/>
      <c r="P37" s="115"/>
      <c r="Q37" s="115"/>
    </row>
    <row r="38" spans="1:17" ht="39" customHeight="1" x14ac:dyDescent="0.3">
      <c r="A38" s="239" t="s">
        <v>43</v>
      </c>
      <c r="B38" s="239"/>
      <c r="C38" s="5">
        <v>129.6</v>
      </c>
      <c r="D38" s="6">
        <f t="shared" si="6"/>
        <v>0.11771117166212533</v>
      </c>
      <c r="E38" s="20">
        <f t="shared" si="7"/>
        <v>1.2126584701808124E-3</v>
      </c>
      <c r="F38" s="30"/>
      <c r="G38" s="31"/>
      <c r="H38" s="32"/>
      <c r="J38" s="239" t="s">
        <v>43</v>
      </c>
      <c r="K38" s="239"/>
      <c r="L38" s="5">
        <v>129.6</v>
      </c>
      <c r="M38" s="108">
        <f t="shared" si="8"/>
        <v>0.11781818181818181</v>
      </c>
      <c r="N38" s="20">
        <f t="shared" si="9"/>
        <v>1.298938929576614E-3</v>
      </c>
      <c r="O38" s="58"/>
      <c r="P38" s="115"/>
      <c r="Q38" s="115"/>
    </row>
    <row r="39" spans="1:17" ht="39" customHeight="1" x14ac:dyDescent="0.3">
      <c r="A39" s="239" t="s">
        <v>44</v>
      </c>
      <c r="B39" s="239"/>
      <c r="C39" s="5">
        <v>78.959999999999994</v>
      </c>
      <c r="D39" s="6">
        <f t="shared" si="6"/>
        <v>7.1716621253405985E-2</v>
      </c>
      <c r="E39" s="20">
        <f t="shared" si="7"/>
        <v>7.3882340127682828E-4</v>
      </c>
      <c r="F39" s="30"/>
      <c r="G39" s="31"/>
      <c r="H39" s="32"/>
      <c r="J39" s="239" t="s">
        <v>44</v>
      </c>
      <c r="K39" s="239"/>
      <c r="L39" s="5">
        <v>78.959999999999994</v>
      </c>
      <c r="M39" s="108">
        <f t="shared" si="8"/>
        <v>7.1781818181818183E-2</v>
      </c>
      <c r="N39" s="20">
        <f t="shared" si="9"/>
        <v>7.9139057005686282E-4</v>
      </c>
      <c r="O39" s="58"/>
      <c r="P39" s="115"/>
      <c r="Q39" s="115"/>
    </row>
    <row r="40" spans="1:17" ht="39" customHeight="1" x14ac:dyDescent="0.3">
      <c r="A40" s="239" t="s">
        <v>45</v>
      </c>
      <c r="B40" s="239"/>
      <c r="C40" s="5">
        <v>91.68</v>
      </c>
      <c r="D40" s="6">
        <f t="shared" si="6"/>
        <v>8.3269754768392379E-2</v>
      </c>
      <c r="E40" s="20">
        <f t="shared" si="7"/>
        <v>8.578435844612414E-4</v>
      </c>
      <c r="F40" s="30"/>
      <c r="G40" s="31"/>
      <c r="H40" s="32"/>
      <c r="J40" s="239" t="s">
        <v>45</v>
      </c>
      <c r="K40" s="239"/>
      <c r="L40" s="5">
        <v>91.68</v>
      </c>
      <c r="M40" s="108">
        <f t="shared" si="8"/>
        <v>8.3345454545454556E-2</v>
      </c>
      <c r="N40" s="20">
        <f t="shared" si="9"/>
        <v>9.1887902055234547E-4</v>
      </c>
      <c r="O40" s="58"/>
      <c r="P40" s="115"/>
      <c r="Q40" s="115"/>
    </row>
    <row r="41" spans="1:17" ht="39" customHeight="1" x14ac:dyDescent="0.3">
      <c r="A41" s="239" t="s">
        <v>46</v>
      </c>
      <c r="B41" s="239"/>
      <c r="C41" s="5">
        <v>81.599999999999994</v>
      </c>
      <c r="D41" s="6">
        <f>C41/$G$47</f>
        <v>7.4114441416893731E-2</v>
      </c>
      <c r="E41" s="20">
        <f t="shared" si="7"/>
        <v>7.6352570344717814E-4</v>
      </c>
      <c r="F41" s="30"/>
      <c r="G41" s="31"/>
      <c r="H41" s="32"/>
      <c r="J41" s="239" t="s">
        <v>46</v>
      </c>
      <c r="K41" s="239"/>
      <c r="L41" s="5">
        <v>81.599999999999994</v>
      </c>
      <c r="M41" s="108">
        <f t="shared" si="8"/>
        <v>7.4181818181818182E-2</v>
      </c>
      <c r="N41" s="20">
        <f t="shared" si="9"/>
        <v>8.1785043714083098E-4</v>
      </c>
      <c r="O41" s="58"/>
      <c r="P41" s="115"/>
      <c r="Q41" s="115"/>
    </row>
    <row r="42" spans="1:17" ht="39" customHeight="1" x14ac:dyDescent="0.3">
      <c r="A42" s="239" t="s">
        <v>47</v>
      </c>
      <c r="B42" s="239"/>
      <c r="C42" s="5">
        <v>271.68</v>
      </c>
      <c r="D42" s="6">
        <f t="shared" si="6"/>
        <v>0.24675749318801091</v>
      </c>
      <c r="E42" s="20">
        <f t="shared" si="7"/>
        <v>2.5420914597123695E-3</v>
      </c>
      <c r="F42" s="30"/>
      <c r="G42" s="31"/>
      <c r="H42" s="32"/>
      <c r="J42" s="239" t="s">
        <v>47</v>
      </c>
      <c r="K42" s="239"/>
      <c r="L42" s="5">
        <v>271.68</v>
      </c>
      <c r="M42" s="108">
        <f t="shared" si="8"/>
        <v>0.24698181818181819</v>
      </c>
      <c r="N42" s="20">
        <f t="shared" si="9"/>
        <v>2.7229608671865313E-3</v>
      </c>
      <c r="O42" s="58"/>
      <c r="P42" s="115"/>
      <c r="Q42" s="115"/>
    </row>
    <row r="43" spans="1:17" ht="39" customHeight="1" x14ac:dyDescent="0.3">
      <c r="A43" s="239" t="s">
        <v>48</v>
      </c>
      <c r="B43" s="239"/>
      <c r="C43" s="5">
        <v>77.040000000000006</v>
      </c>
      <c r="D43" s="6">
        <f t="shared" si="6"/>
        <v>6.9972752043596737E-2</v>
      </c>
      <c r="E43" s="20">
        <f t="shared" si="7"/>
        <v>7.20858090607483E-4</v>
      </c>
      <c r="F43" s="30"/>
      <c r="G43" s="31"/>
      <c r="H43" s="32"/>
      <c r="J43" s="239"/>
      <c r="K43" s="239"/>
      <c r="L43" s="123"/>
      <c r="M43" s="123"/>
      <c r="N43" s="123"/>
      <c r="O43" s="58"/>
      <c r="P43" s="115"/>
      <c r="Q43" s="115"/>
    </row>
    <row r="44" spans="1:17" ht="39" customHeight="1" x14ac:dyDescent="0.3">
      <c r="A44" s="239" t="s">
        <v>59</v>
      </c>
      <c r="B44" s="239"/>
      <c r="C44" s="5">
        <v>5279.77</v>
      </c>
      <c r="D44" s="6">
        <f t="shared" si="6"/>
        <v>4.7954314259763855</v>
      </c>
      <c r="E44" s="20">
        <f t="shared" si="7"/>
        <v>4.9402452246192503E-2</v>
      </c>
      <c r="F44" s="30"/>
      <c r="G44" s="31"/>
      <c r="H44" s="32"/>
      <c r="J44" s="239" t="s">
        <v>59</v>
      </c>
      <c r="K44" s="239"/>
      <c r="L44" s="5">
        <v>6212.13</v>
      </c>
      <c r="M44" s="108">
        <f>L44/$P$47</f>
        <v>5.6473909090909089</v>
      </c>
      <c r="N44" s="20">
        <f>L44/$L$46</f>
        <v>6.2262172010731254E-2</v>
      </c>
      <c r="O44" s="58"/>
      <c r="P44" s="115"/>
      <c r="Q44" s="115"/>
    </row>
    <row r="45" spans="1:17" ht="23.45" customHeight="1" x14ac:dyDescent="0.3">
      <c r="A45" s="319" t="s">
        <v>50</v>
      </c>
      <c r="B45" s="319"/>
      <c r="C45" s="106">
        <f>SUM(C31:C44)</f>
        <v>16753.849999999999</v>
      </c>
      <c r="D45" s="104">
        <f t="shared" si="6"/>
        <v>15.216939146230699</v>
      </c>
      <c r="E45" s="105">
        <f>SUM(E31:E44)</f>
        <v>0.15676464591542291</v>
      </c>
      <c r="F45" s="30"/>
      <c r="G45" s="33"/>
      <c r="H45" s="34"/>
      <c r="J45" s="319" t="s">
        <v>50</v>
      </c>
      <c r="K45" s="319"/>
      <c r="L45" s="106">
        <f>SUM(L31:L44)</f>
        <v>39290.36</v>
      </c>
      <c r="M45" s="106">
        <f>SUM(M31:M44)</f>
        <v>35.718509090909095</v>
      </c>
      <c r="N45" s="105">
        <f>SUM(N31:N44)</f>
        <v>0.39379458457623301</v>
      </c>
      <c r="O45" s="58"/>
      <c r="P45" s="117"/>
      <c r="Q45" s="117"/>
    </row>
    <row r="46" spans="1:17" ht="24" thickBot="1" x14ac:dyDescent="0.4">
      <c r="A46" s="320" t="s">
        <v>51</v>
      </c>
      <c r="B46" s="320"/>
      <c r="C46" s="321">
        <f>C29+C45+C17</f>
        <v>106872.629892</v>
      </c>
      <c r="D46" s="322">
        <f>C46/F47</f>
        <v>97.156936265454547</v>
      </c>
      <c r="E46" s="323">
        <f>SUM(E45,E29,E17)</f>
        <v>0.99999999898945136</v>
      </c>
      <c r="F46" s="99"/>
      <c r="G46" s="36"/>
      <c r="H46" s="37"/>
      <c r="J46" s="320" t="s">
        <v>51</v>
      </c>
      <c r="K46" s="320"/>
      <c r="L46" s="321">
        <f>L29+L45+L17</f>
        <v>99773.743822000019</v>
      </c>
      <c r="M46" s="322">
        <f>L46/O47</f>
        <v>90.703403474545468</v>
      </c>
      <c r="N46" s="323">
        <f>SUM(N45,N29,N17)</f>
        <v>0.99999999999999978</v>
      </c>
      <c r="O46" s="118"/>
      <c r="P46" s="119"/>
      <c r="Q46" s="119"/>
    </row>
    <row r="47" spans="1:17" ht="68.45" customHeight="1" thickBot="1" x14ac:dyDescent="0.3">
      <c r="A47" s="324" t="s">
        <v>60</v>
      </c>
      <c r="B47" s="324"/>
      <c r="C47" s="321"/>
      <c r="D47" s="322"/>
      <c r="E47" s="323"/>
      <c r="F47" s="100">
        <v>1100</v>
      </c>
      <c r="G47" s="71">
        <v>1101</v>
      </c>
      <c r="H47" s="39"/>
      <c r="J47" s="324" t="s">
        <v>60</v>
      </c>
      <c r="K47" s="324"/>
      <c r="L47" s="321"/>
      <c r="M47" s="322"/>
      <c r="N47" s="323"/>
      <c r="O47" s="120">
        <v>1100</v>
      </c>
      <c r="P47" s="121">
        <v>1100</v>
      </c>
      <c r="Q47" s="120"/>
    </row>
    <row r="49" spans="3:3" x14ac:dyDescent="0.25">
      <c r="C49" s="52"/>
    </row>
  </sheetData>
  <mergeCells count="103">
    <mergeCell ref="A7:E7"/>
    <mergeCell ref="F8:H8"/>
    <mergeCell ref="F9:H9"/>
    <mergeCell ref="F10:H10"/>
    <mergeCell ref="F11:H11"/>
    <mergeCell ref="F12:H12"/>
    <mergeCell ref="A1:H1"/>
    <mergeCell ref="A2:H2"/>
    <mergeCell ref="A3:H3"/>
    <mergeCell ref="A4:H4"/>
    <mergeCell ref="A5:H5"/>
    <mergeCell ref="F6:H6"/>
    <mergeCell ref="A18:A19"/>
    <mergeCell ref="F18:G18"/>
    <mergeCell ref="G20:H20"/>
    <mergeCell ref="A21:A22"/>
    <mergeCell ref="G21:H21"/>
    <mergeCell ref="G22:H22"/>
    <mergeCell ref="F13:H13"/>
    <mergeCell ref="F14:H14"/>
    <mergeCell ref="F15:H15"/>
    <mergeCell ref="F16:H16"/>
    <mergeCell ref="A17:B17"/>
    <mergeCell ref="F17:H17"/>
    <mergeCell ref="A32:B32"/>
    <mergeCell ref="A33:B33"/>
    <mergeCell ref="A34:B34"/>
    <mergeCell ref="A35:B35"/>
    <mergeCell ref="F23:H23"/>
    <mergeCell ref="F24:H24"/>
    <mergeCell ref="G25:H25"/>
    <mergeCell ref="F27:H27"/>
    <mergeCell ref="F28:H28"/>
    <mergeCell ref="A29:B29"/>
    <mergeCell ref="F29:H29"/>
    <mergeCell ref="D46:D47"/>
    <mergeCell ref="E46:E47"/>
    <mergeCell ref="A47:B47"/>
    <mergeCell ref="J1:Q1"/>
    <mergeCell ref="J2:Q2"/>
    <mergeCell ref="J3:Q3"/>
    <mergeCell ref="J4:Q4"/>
    <mergeCell ref="J5:Q5"/>
    <mergeCell ref="O6:Q6"/>
    <mergeCell ref="J7:Q7"/>
    <mergeCell ref="A42:B42"/>
    <mergeCell ref="A43:B43"/>
    <mergeCell ref="A44:B44"/>
    <mergeCell ref="A45:B45"/>
    <mergeCell ref="A46:B46"/>
    <mergeCell ref="C46:C47"/>
    <mergeCell ref="A36:B36"/>
    <mergeCell ref="A37:B37"/>
    <mergeCell ref="A38:B38"/>
    <mergeCell ref="A39:B39"/>
    <mergeCell ref="A40:B40"/>
    <mergeCell ref="A41:B41"/>
    <mergeCell ref="A30:E30"/>
    <mergeCell ref="A31:B31"/>
    <mergeCell ref="O15:Q15"/>
    <mergeCell ref="O16:Q16"/>
    <mergeCell ref="J17:K17"/>
    <mergeCell ref="O17:Q17"/>
    <mergeCell ref="J18:J19"/>
    <mergeCell ref="O18:P18"/>
    <mergeCell ref="O8:Q8"/>
    <mergeCell ref="O9:Q9"/>
    <mergeCell ref="O10:Q10"/>
    <mergeCell ref="O11:Q11"/>
    <mergeCell ref="O13:Q13"/>
    <mergeCell ref="O14:Q14"/>
    <mergeCell ref="P25:Q25"/>
    <mergeCell ref="O27:Q27"/>
    <mergeCell ref="O28:Q28"/>
    <mergeCell ref="J29:K29"/>
    <mergeCell ref="O29:Q29"/>
    <mergeCell ref="P20:Q20"/>
    <mergeCell ref="J21:J22"/>
    <mergeCell ref="P21:Q21"/>
    <mergeCell ref="P22:Q22"/>
    <mergeCell ref="O23:Q23"/>
    <mergeCell ref="O24:Q24"/>
    <mergeCell ref="J30:Q30"/>
    <mergeCell ref="J44:K44"/>
    <mergeCell ref="J43:K43"/>
    <mergeCell ref="J45:K45"/>
    <mergeCell ref="J46:K46"/>
    <mergeCell ref="L46:L47"/>
    <mergeCell ref="M46:M47"/>
    <mergeCell ref="N46:N47"/>
    <mergeCell ref="J47:K47"/>
    <mergeCell ref="J37:K37"/>
    <mergeCell ref="J38:K38"/>
    <mergeCell ref="J39:K39"/>
    <mergeCell ref="J40:K40"/>
    <mergeCell ref="J41:K41"/>
    <mergeCell ref="J42:K42"/>
    <mergeCell ref="J31:K31"/>
    <mergeCell ref="J32:K32"/>
    <mergeCell ref="J33:K33"/>
    <mergeCell ref="J34:K34"/>
    <mergeCell ref="J35:K35"/>
    <mergeCell ref="J36:K36"/>
  </mergeCells>
  <pageMargins left="0.7" right="0.7" top="0.75" bottom="0.75" header="0.3" footer="0.3"/>
  <pageSetup paperSize="8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26212-D498-40F9-BD16-1E10F6C42D0F}">
  <dimension ref="A1:H43"/>
  <sheetViews>
    <sheetView workbookViewId="0">
      <selection activeCell="E25" sqref="E25"/>
    </sheetView>
  </sheetViews>
  <sheetFormatPr defaultRowHeight="15" x14ac:dyDescent="0.25"/>
  <cols>
    <col min="1" max="1" width="27.140625" customWidth="1"/>
    <col min="2" max="2" width="14.7109375" customWidth="1"/>
    <col min="3" max="3" width="12" customWidth="1"/>
    <col min="4" max="4" width="16" customWidth="1"/>
    <col min="5" max="6" width="20.7109375" customWidth="1"/>
    <col min="7" max="7" width="11" customWidth="1"/>
  </cols>
  <sheetData>
    <row r="1" spans="1:8" ht="15.75" x14ac:dyDescent="0.25">
      <c r="E1" s="153" t="s">
        <v>114</v>
      </c>
      <c r="F1" s="153" t="s">
        <v>115</v>
      </c>
    </row>
    <row r="2" spans="1:8" ht="30" x14ac:dyDescent="0.25">
      <c r="A2" s="138" t="s">
        <v>116</v>
      </c>
      <c r="B2" s="154" t="s">
        <v>117</v>
      </c>
      <c r="C2" s="154" t="s">
        <v>118</v>
      </c>
      <c r="D2" s="131" t="s">
        <v>119</v>
      </c>
      <c r="E2" s="131" t="s">
        <v>120</v>
      </c>
      <c r="F2" s="131" t="s">
        <v>121</v>
      </c>
      <c r="G2" s="123"/>
      <c r="H2" s="123"/>
    </row>
    <row r="3" spans="1:8" x14ac:dyDescent="0.25">
      <c r="A3" s="127" t="s">
        <v>122</v>
      </c>
      <c r="B3" s="127">
        <v>4</v>
      </c>
      <c r="C3" s="162">
        <v>700</v>
      </c>
      <c r="D3" s="123">
        <v>28831.83</v>
      </c>
      <c r="E3" s="123">
        <f>ROUND(D3*1.2359,2)</f>
        <v>35633.26</v>
      </c>
      <c r="F3" s="123"/>
      <c r="G3" s="123"/>
      <c r="H3" s="123"/>
    </row>
    <row r="4" spans="1:8" ht="30" x14ac:dyDescent="0.25">
      <c r="A4" s="127" t="s">
        <v>123</v>
      </c>
      <c r="B4" s="155" t="s">
        <v>124</v>
      </c>
      <c r="C4" s="123">
        <v>780</v>
      </c>
      <c r="D4" s="123">
        <v>747.66</v>
      </c>
      <c r="E4" s="123">
        <f>ROUND(D4*1.2359,2)</f>
        <v>924.03</v>
      </c>
      <c r="F4" s="123"/>
      <c r="G4" s="123"/>
      <c r="H4" s="123"/>
    </row>
    <row r="5" spans="1:8" ht="45" x14ac:dyDescent="0.25">
      <c r="A5" s="127" t="s">
        <v>125</v>
      </c>
      <c r="B5" s="123">
        <v>1</v>
      </c>
      <c r="C5" s="123">
        <v>840</v>
      </c>
      <c r="D5" s="123">
        <v>6720</v>
      </c>
      <c r="E5" s="123"/>
      <c r="F5" s="123">
        <f>ROUND(D5*1.2359,2)</f>
        <v>8305.25</v>
      </c>
      <c r="G5" s="123"/>
      <c r="H5" s="123"/>
    </row>
    <row r="6" spans="1:8" s="132" customFormat="1" x14ac:dyDescent="0.25">
      <c r="A6" s="156" t="s">
        <v>126</v>
      </c>
      <c r="B6" s="157"/>
      <c r="C6" s="157"/>
      <c r="D6" s="157"/>
      <c r="E6" s="157">
        <f>E3+E4</f>
        <v>36557.29</v>
      </c>
      <c r="F6" s="157">
        <f>F5</f>
        <v>8305.25</v>
      </c>
      <c r="G6" s="143"/>
      <c r="H6" s="143"/>
    </row>
    <row r="7" spans="1:8" s="159" customFormat="1" ht="30" x14ac:dyDescent="0.25">
      <c r="A7" s="147" t="s">
        <v>127</v>
      </c>
      <c r="B7" s="137" t="s">
        <v>128</v>
      </c>
      <c r="C7" s="158" t="s">
        <v>69</v>
      </c>
      <c r="D7" s="145"/>
      <c r="E7" s="158" t="s">
        <v>129</v>
      </c>
      <c r="F7" s="158" t="s">
        <v>129</v>
      </c>
      <c r="G7" s="146"/>
      <c r="H7" s="146"/>
    </row>
    <row r="8" spans="1:8" x14ac:dyDescent="0.25">
      <c r="A8" s="127" t="s">
        <v>130</v>
      </c>
      <c r="B8" s="123">
        <v>1200</v>
      </c>
      <c r="C8" s="123">
        <v>45</v>
      </c>
      <c r="D8" s="123"/>
      <c r="E8" s="160">
        <f>B8*C8</f>
        <v>54000</v>
      </c>
      <c r="F8" s="123"/>
      <c r="G8" s="123"/>
      <c r="H8" s="123"/>
    </row>
    <row r="9" spans="1:8" x14ac:dyDescent="0.25">
      <c r="A9" s="127" t="s">
        <v>131</v>
      </c>
      <c r="B9" s="123">
        <v>1921</v>
      </c>
      <c r="C9" s="123">
        <v>22</v>
      </c>
      <c r="D9" s="123"/>
      <c r="E9" s="123"/>
      <c r="F9" s="160">
        <f>B9*C9</f>
        <v>42262</v>
      </c>
      <c r="G9" s="123">
        <v>25</v>
      </c>
      <c r="H9" s="123">
        <v>48025</v>
      </c>
    </row>
    <row r="10" spans="1:8" ht="27" customHeight="1" x14ac:dyDescent="0.25">
      <c r="A10" s="330" t="s">
        <v>132</v>
      </c>
      <c r="B10" s="330"/>
      <c r="C10" s="330"/>
      <c r="D10" s="330"/>
      <c r="E10" s="161">
        <v>98.08</v>
      </c>
      <c r="F10" s="161">
        <v>93.24</v>
      </c>
      <c r="G10" s="123"/>
      <c r="H10" s="123"/>
    </row>
    <row r="12" spans="1:8" ht="15.75" x14ac:dyDescent="0.25">
      <c r="E12" s="153" t="s">
        <v>114</v>
      </c>
      <c r="F12" s="153" t="s">
        <v>115</v>
      </c>
    </row>
    <row r="13" spans="1:8" ht="30" x14ac:dyDescent="0.25">
      <c r="A13" s="138" t="s">
        <v>116</v>
      </c>
      <c r="B13" s="154" t="s">
        <v>117</v>
      </c>
      <c r="C13" s="154" t="s">
        <v>118</v>
      </c>
      <c r="D13" s="131" t="s">
        <v>119</v>
      </c>
      <c r="E13" s="131" t="s">
        <v>120</v>
      </c>
      <c r="F13" s="131" t="s">
        <v>121</v>
      </c>
      <c r="G13" s="123"/>
      <c r="H13" s="123"/>
    </row>
    <row r="14" spans="1:8" x14ac:dyDescent="0.25">
      <c r="A14" s="127" t="s">
        <v>122</v>
      </c>
      <c r="B14" s="127">
        <v>4</v>
      </c>
      <c r="C14" s="162">
        <v>730</v>
      </c>
      <c r="D14" s="123">
        <v>30297.040000000001</v>
      </c>
      <c r="E14" s="123">
        <f>ROUND(D14*1.2359,2)</f>
        <v>37444.11</v>
      </c>
      <c r="F14" s="123"/>
      <c r="G14" s="123"/>
      <c r="H14" s="123"/>
    </row>
    <row r="15" spans="1:8" ht="30" x14ac:dyDescent="0.25">
      <c r="A15" s="127" t="s">
        <v>123</v>
      </c>
      <c r="B15" s="155" t="s">
        <v>124</v>
      </c>
      <c r="C15" s="123">
        <v>817.64</v>
      </c>
      <c r="D15" s="123">
        <v>783.74</v>
      </c>
      <c r="E15" s="123">
        <f>ROUND(D15*1.2359,2)</f>
        <v>968.62</v>
      </c>
      <c r="F15" s="123"/>
      <c r="G15" s="123"/>
      <c r="H15" s="123"/>
    </row>
    <row r="16" spans="1:8" ht="45" x14ac:dyDescent="0.25">
      <c r="A16" s="127" t="s">
        <v>125</v>
      </c>
      <c r="B16" s="123">
        <v>1</v>
      </c>
      <c r="C16" s="123">
        <v>876</v>
      </c>
      <c r="D16" s="123">
        <v>7007.95</v>
      </c>
      <c r="E16" s="123"/>
      <c r="F16" s="123">
        <f>ROUND(D16*1.2359,2)</f>
        <v>8661.1299999999992</v>
      </c>
      <c r="G16" s="123"/>
      <c r="H16" s="123"/>
    </row>
    <row r="17" spans="1:8" x14ac:dyDescent="0.25">
      <c r="A17" s="156" t="s">
        <v>126</v>
      </c>
      <c r="B17" s="157"/>
      <c r="C17" s="157"/>
      <c r="D17" s="157"/>
      <c r="E17" s="157">
        <f>E14+E15</f>
        <v>38412.730000000003</v>
      </c>
      <c r="F17" s="157">
        <f>F16</f>
        <v>8661.1299999999992</v>
      </c>
      <c r="G17" s="123"/>
      <c r="H17" s="123"/>
    </row>
    <row r="18" spans="1:8" ht="30" x14ac:dyDescent="0.25">
      <c r="A18" s="147" t="s">
        <v>127</v>
      </c>
      <c r="B18" s="137" t="s">
        <v>128</v>
      </c>
      <c r="C18" s="158" t="s">
        <v>69</v>
      </c>
      <c r="D18" s="145"/>
      <c r="E18" s="158" t="s">
        <v>129</v>
      </c>
      <c r="F18" s="158" t="s">
        <v>129</v>
      </c>
      <c r="G18" s="123"/>
      <c r="H18" s="123"/>
    </row>
    <row r="19" spans="1:8" x14ac:dyDescent="0.25">
      <c r="A19" s="127" t="s">
        <v>130</v>
      </c>
      <c r="B19" s="123">
        <v>1200</v>
      </c>
      <c r="C19" s="123">
        <v>45</v>
      </c>
      <c r="D19" s="123"/>
      <c r="E19" s="160">
        <f>B19*C19</f>
        <v>54000</v>
      </c>
      <c r="F19" s="123"/>
      <c r="G19" s="123"/>
      <c r="H19" s="123"/>
    </row>
    <row r="20" spans="1:8" x14ac:dyDescent="0.25">
      <c r="A20" s="127" t="s">
        <v>131</v>
      </c>
      <c r="B20" s="123">
        <v>1921</v>
      </c>
      <c r="C20" s="123">
        <v>22</v>
      </c>
      <c r="D20" s="123"/>
      <c r="E20" s="123"/>
      <c r="F20" s="160">
        <f>B20*C20</f>
        <v>42262</v>
      </c>
      <c r="G20" s="123">
        <v>25</v>
      </c>
      <c r="H20" s="123">
        <v>48025</v>
      </c>
    </row>
    <row r="21" spans="1:8" ht="27" customHeight="1" x14ac:dyDescent="0.25">
      <c r="A21" s="330" t="s">
        <v>132</v>
      </c>
      <c r="B21" s="330"/>
      <c r="C21" s="330"/>
      <c r="D21" s="330"/>
      <c r="E21" s="161">
        <v>99.84</v>
      </c>
      <c r="F21" s="161">
        <v>93.64</v>
      </c>
      <c r="G21" s="123"/>
      <c r="H21" s="123"/>
    </row>
    <row r="23" spans="1:8" ht="15.75" x14ac:dyDescent="0.25">
      <c r="E23" s="153" t="s">
        <v>114</v>
      </c>
      <c r="F23" s="153" t="s">
        <v>115</v>
      </c>
    </row>
    <row r="24" spans="1:8" ht="30" x14ac:dyDescent="0.25">
      <c r="A24" s="138" t="s">
        <v>116</v>
      </c>
      <c r="B24" s="154" t="s">
        <v>117</v>
      </c>
      <c r="C24" s="154" t="s">
        <v>118</v>
      </c>
      <c r="D24" s="131" t="s">
        <v>119</v>
      </c>
      <c r="E24" s="131" t="s">
        <v>120</v>
      </c>
      <c r="F24" s="131" t="s">
        <v>121</v>
      </c>
      <c r="G24" s="123"/>
      <c r="H24" s="123"/>
    </row>
    <row r="25" spans="1:8" x14ac:dyDescent="0.25">
      <c r="A25" s="127" t="s">
        <v>122</v>
      </c>
      <c r="B25" s="127">
        <v>4</v>
      </c>
      <c r="C25" s="162">
        <v>750</v>
      </c>
      <c r="D25" s="123">
        <v>31127.42</v>
      </c>
      <c r="E25" s="123">
        <f>ROUND(D25*1.2359,2)</f>
        <v>38470.379999999997</v>
      </c>
      <c r="F25" s="123"/>
      <c r="G25" s="123"/>
      <c r="H25" s="123"/>
    </row>
    <row r="26" spans="1:8" ht="30" x14ac:dyDescent="0.25">
      <c r="A26" s="127" t="s">
        <v>123</v>
      </c>
      <c r="B26" s="155" t="s">
        <v>124</v>
      </c>
      <c r="C26" s="123">
        <v>832.03</v>
      </c>
      <c r="D26" s="123">
        <v>797.53</v>
      </c>
      <c r="E26" s="123">
        <f>ROUND(D26*1.2359,2)</f>
        <v>985.67</v>
      </c>
      <c r="F26" s="123"/>
      <c r="G26" s="123"/>
      <c r="H26" s="123"/>
    </row>
    <row r="27" spans="1:8" ht="45" x14ac:dyDescent="0.25">
      <c r="A27" s="127" t="s">
        <v>125</v>
      </c>
      <c r="B27" s="123">
        <v>1</v>
      </c>
      <c r="C27" s="123">
        <v>896.03</v>
      </c>
      <c r="D27" s="123">
        <v>7168.22</v>
      </c>
      <c r="E27" s="123"/>
      <c r="F27" s="123">
        <f>ROUND(D27*1.2359,2)</f>
        <v>8859.2000000000007</v>
      </c>
      <c r="G27" s="123"/>
      <c r="H27" s="123"/>
    </row>
    <row r="28" spans="1:8" x14ac:dyDescent="0.25">
      <c r="A28" s="156" t="s">
        <v>126</v>
      </c>
      <c r="B28" s="157"/>
      <c r="C28" s="157"/>
      <c r="D28" s="157"/>
      <c r="E28" s="157">
        <f>E25+E26</f>
        <v>39456.049999999996</v>
      </c>
      <c r="F28" s="157">
        <f>F27</f>
        <v>8859.2000000000007</v>
      </c>
      <c r="G28" s="123"/>
      <c r="H28" s="123"/>
    </row>
    <row r="29" spans="1:8" ht="30" x14ac:dyDescent="0.25">
      <c r="A29" s="147" t="s">
        <v>127</v>
      </c>
      <c r="B29" s="137" t="s">
        <v>128</v>
      </c>
      <c r="C29" s="158" t="s">
        <v>69</v>
      </c>
      <c r="D29" s="145"/>
      <c r="E29" s="158" t="s">
        <v>129</v>
      </c>
      <c r="F29" s="158" t="s">
        <v>129</v>
      </c>
      <c r="G29" s="123"/>
      <c r="H29" s="123"/>
    </row>
    <row r="30" spans="1:8" x14ac:dyDescent="0.25">
      <c r="A30" s="127" t="s">
        <v>130</v>
      </c>
      <c r="B30" s="123">
        <v>1200</v>
      </c>
      <c r="C30" s="123">
        <v>45</v>
      </c>
      <c r="D30" s="123"/>
      <c r="E30" s="160">
        <f>B30*C30</f>
        <v>54000</v>
      </c>
      <c r="F30" s="123"/>
      <c r="G30" s="123"/>
      <c r="H30" s="123"/>
    </row>
    <row r="31" spans="1:8" x14ac:dyDescent="0.25">
      <c r="A31" s="127" t="s">
        <v>131</v>
      </c>
      <c r="B31" s="123">
        <v>1921</v>
      </c>
      <c r="C31" s="123">
        <v>22</v>
      </c>
      <c r="D31" s="123"/>
      <c r="E31" s="123"/>
      <c r="F31" s="160">
        <f>B31*C31</f>
        <v>42262</v>
      </c>
      <c r="G31" s="123">
        <v>25</v>
      </c>
      <c r="H31" s="123">
        <v>48025</v>
      </c>
    </row>
    <row r="32" spans="1:8" ht="28.9" customHeight="1" x14ac:dyDescent="0.25">
      <c r="A32" s="330" t="s">
        <v>132</v>
      </c>
      <c r="B32" s="330"/>
      <c r="C32" s="330"/>
      <c r="D32" s="330"/>
      <c r="E32" s="161">
        <v>100.79</v>
      </c>
      <c r="F32" s="161">
        <v>93.82</v>
      </c>
      <c r="G32" s="123"/>
      <c r="H32" s="123"/>
    </row>
    <row r="34" spans="1:8" ht="15.75" x14ac:dyDescent="0.25">
      <c r="E34" s="153" t="s">
        <v>114</v>
      </c>
      <c r="F34" s="153" t="s">
        <v>115</v>
      </c>
    </row>
    <row r="35" spans="1:8" ht="30" x14ac:dyDescent="0.25">
      <c r="A35" s="138" t="s">
        <v>116</v>
      </c>
      <c r="B35" s="154" t="s">
        <v>117</v>
      </c>
      <c r="C35" s="154" t="s">
        <v>118</v>
      </c>
      <c r="D35" s="131" t="s">
        <v>119</v>
      </c>
      <c r="E35" s="131" t="s">
        <v>120</v>
      </c>
      <c r="F35" s="131" t="s">
        <v>121</v>
      </c>
      <c r="G35" s="123"/>
      <c r="H35" s="123"/>
    </row>
    <row r="36" spans="1:8" x14ac:dyDescent="0.25">
      <c r="A36" s="127" t="s">
        <v>122</v>
      </c>
      <c r="B36" s="127">
        <v>4</v>
      </c>
      <c r="C36" s="162">
        <v>810</v>
      </c>
      <c r="D36" s="123">
        <v>33617.18</v>
      </c>
      <c r="E36" s="123">
        <f>ROUND(D36*1.2359,2)</f>
        <v>41547.47</v>
      </c>
      <c r="F36" s="123"/>
      <c r="G36" s="123"/>
      <c r="H36" s="123"/>
    </row>
    <row r="37" spans="1:8" ht="30" x14ac:dyDescent="0.25">
      <c r="A37" s="127" t="s">
        <v>123</v>
      </c>
      <c r="B37" s="155" t="s">
        <v>124</v>
      </c>
      <c r="C37" s="123">
        <v>902.57</v>
      </c>
      <c r="D37" s="123">
        <v>865.15</v>
      </c>
      <c r="E37" s="123">
        <f>ROUND(D37*1.2359,2)</f>
        <v>1069.24</v>
      </c>
      <c r="F37" s="123"/>
      <c r="G37" s="123"/>
      <c r="H37" s="123"/>
    </row>
    <row r="38" spans="1:8" ht="45" x14ac:dyDescent="0.25">
      <c r="A38" s="127" t="s">
        <v>125</v>
      </c>
      <c r="B38" s="123">
        <v>1</v>
      </c>
      <c r="C38" s="123">
        <v>972</v>
      </c>
      <c r="D38" s="123">
        <v>7775.98</v>
      </c>
      <c r="E38" s="123"/>
      <c r="F38" s="123">
        <f>ROUND(D38*1.2359,2)</f>
        <v>9610.33</v>
      </c>
      <c r="G38" s="123"/>
      <c r="H38" s="123"/>
    </row>
    <row r="39" spans="1:8" x14ac:dyDescent="0.25">
      <c r="A39" s="156" t="s">
        <v>126</v>
      </c>
      <c r="B39" s="157"/>
      <c r="C39" s="157"/>
      <c r="D39" s="157"/>
      <c r="E39" s="157">
        <f>E36+E37</f>
        <v>42616.71</v>
      </c>
      <c r="F39" s="157">
        <f>F38</f>
        <v>9610.33</v>
      </c>
      <c r="G39" s="123"/>
      <c r="H39" s="123"/>
    </row>
    <row r="40" spans="1:8" ht="30" x14ac:dyDescent="0.25">
      <c r="A40" s="147" t="s">
        <v>127</v>
      </c>
      <c r="B40" s="137" t="s">
        <v>128</v>
      </c>
      <c r="C40" s="158" t="s">
        <v>69</v>
      </c>
      <c r="D40" s="145"/>
      <c r="E40" s="158" t="s">
        <v>129</v>
      </c>
      <c r="F40" s="158" t="s">
        <v>129</v>
      </c>
      <c r="G40" s="123"/>
      <c r="H40" s="123"/>
    </row>
    <row r="41" spans="1:8" x14ac:dyDescent="0.25">
      <c r="A41" s="127" t="s">
        <v>130</v>
      </c>
      <c r="B41" s="123">
        <v>1200</v>
      </c>
      <c r="C41" s="123">
        <v>45</v>
      </c>
      <c r="D41" s="123"/>
      <c r="E41" s="160">
        <f>B41*C41</f>
        <v>54000</v>
      </c>
      <c r="F41" s="123"/>
      <c r="G41" s="123"/>
      <c r="H41" s="123"/>
    </row>
    <row r="42" spans="1:8" x14ac:dyDescent="0.25">
      <c r="A42" s="127" t="s">
        <v>131</v>
      </c>
      <c r="B42" s="123">
        <v>1921</v>
      </c>
      <c r="C42" s="123">
        <v>22</v>
      </c>
      <c r="D42" s="123"/>
      <c r="E42" s="123"/>
      <c r="F42" s="160">
        <f>B42*C42</f>
        <v>42262</v>
      </c>
      <c r="G42" s="123">
        <v>25</v>
      </c>
      <c r="H42" s="123">
        <v>48025</v>
      </c>
    </row>
    <row r="43" spans="1:8" ht="44.45" customHeight="1" x14ac:dyDescent="0.25">
      <c r="A43" s="330" t="s">
        <v>132</v>
      </c>
      <c r="B43" s="330"/>
      <c r="C43" s="330"/>
      <c r="D43" s="330"/>
      <c r="E43" s="161">
        <v>103.66</v>
      </c>
      <c r="F43" s="161">
        <v>94.5</v>
      </c>
      <c r="G43" s="123"/>
      <c r="H43" s="123"/>
    </row>
  </sheetData>
  <mergeCells count="4">
    <mergeCell ref="A10:D10"/>
    <mergeCell ref="A21:D21"/>
    <mergeCell ref="A32:D32"/>
    <mergeCell ref="A43:D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4EF0-8B88-4E15-88C4-A7E3805151C3}">
  <dimension ref="A1:L9"/>
  <sheetViews>
    <sheetView workbookViewId="0">
      <selection activeCell="H18" sqref="H18"/>
    </sheetView>
  </sheetViews>
  <sheetFormatPr defaultColWidth="8.85546875" defaultRowHeight="21" x14ac:dyDescent="0.35"/>
  <cols>
    <col min="1" max="2" width="8.85546875" style="51"/>
    <col min="3" max="3" width="11.140625" style="51" customWidth="1"/>
    <col min="4" max="4" width="9" style="51" bestFit="1" customWidth="1"/>
    <col min="5" max="7" width="8.85546875" style="51"/>
    <col min="8" max="8" width="11.28515625" style="51" bestFit="1" customWidth="1"/>
    <col min="9" max="10" width="8.85546875" style="51"/>
    <col min="11" max="11" width="30.42578125" style="51" customWidth="1"/>
    <col min="12" max="16384" width="8.85546875" style="51"/>
  </cols>
  <sheetData>
    <row r="1" spans="1:12" ht="76.150000000000006" customHeight="1" x14ac:dyDescent="0.35">
      <c r="A1" s="230" t="s">
        <v>188</v>
      </c>
      <c r="B1" s="331" t="s">
        <v>192</v>
      </c>
      <c r="C1" s="331"/>
      <c r="D1" s="331"/>
      <c r="E1" s="331"/>
      <c r="F1" s="331"/>
      <c r="G1" s="331"/>
      <c r="H1" s="331"/>
      <c r="I1" s="331"/>
      <c r="J1" s="331"/>
      <c r="K1" s="331"/>
      <c r="L1" s="228"/>
    </row>
    <row r="2" spans="1:12" ht="7.9" customHeight="1" x14ac:dyDescent="0.35">
      <c r="A2" s="230"/>
    </row>
    <row r="3" spans="1:12" x14ac:dyDescent="0.35">
      <c r="A3" s="230" t="s">
        <v>188</v>
      </c>
      <c r="B3" s="332" t="s">
        <v>189</v>
      </c>
      <c r="C3" s="332"/>
      <c r="D3" s="332"/>
      <c r="E3" s="332"/>
      <c r="F3" s="332"/>
      <c r="G3" s="332"/>
      <c r="H3" s="332"/>
      <c r="I3" s="332"/>
      <c r="J3" s="332"/>
      <c r="K3" s="332"/>
    </row>
    <row r="4" spans="1:12" ht="6" customHeight="1" x14ac:dyDescent="0.35">
      <c r="A4" s="230"/>
    </row>
    <row r="5" spans="1:12" x14ac:dyDescent="0.35">
      <c r="A5" s="230" t="s">
        <v>188</v>
      </c>
      <c r="B5" s="51" t="s">
        <v>191</v>
      </c>
    </row>
    <row r="6" spans="1:12" ht="5.45" customHeight="1" x14ac:dyDescent="0.35">
      <c r="A6" s="230"/>
    </row>
    <row r="7" spans="1:12" ht="43.15" customHeight="1" x14ac:dyDescent="0.35">
      <c r="A7" s="230" t="s">
        <v>188</v>
      </c>
      <c r="B7" s="333" t="s">
        <v>190</v>
      </c>
      <c r="C7" s="333"/>
      <c r="D7" s="333"/>
      <c r="E7" s="333"/>
      <c r="F7" s="333"/>
      <c r="G7" s="333"/>
      <c r="H7" s="333"/>
      <c r="I7" s="333"/>
      <c r="J7" s="333"/>
      <c r="K7" s="333"/>
    </row>
    <row r="8" spans="1:12" ht="4.1500000000000004" customHeight="1" x14ac:dyDescent="0.35">
      <c r="A8" s="230"/>
    </row>
    <row r="9" spans="1:12" ht="61.15" customHeight="1" x14ac:dyDescent="0.35">
      <c r="A9" s="230" t="s">
        <v>188</v>
      </c>
      <c r="B9" s="331" t="s">
        <v>193</v>
      </c>
      <c r="C9" s="331"/>
      <c r="D9" s="331"/>
      <c r="E9" s="331"/>
      <c r="F9" s="331"/>
      <c r="G9" s="331"/>
      <c r="H9" s="331"/>
      <c r="I9" s="331"/>
      <c r="J9" s="331"/>
      <c r="K9" s="331"/>
    </row>
  </sheetData>
  <mergeCells count="4">
    <mergeCell ref="B1:K1"/>
    <mergeCell ref="B3:K3"/>
    <mergeCell ref="B7:K7"/>
    <mergeCell ref="B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0430-B132-47CD-B827-9D987F465642}">
  <sheetPr>
    <pageSetUpPr fitToPage="1"/>
  </sheetPr>
  <dimension ref="A1:F14"/>
  <sheetViews>
    <sheetView workbookViewId="0">
      <selection activeCell="D19" sqref="D19"/>
    </sheetView>
  </sheetViews>
  <sheetFormatPr defaultRowHeight="15" x14ac:dyDescent="0.25"/>
  <cols>
    <col min="1" max="1" width="72" customWidth="1"/>
    <col min="2" max="3" width="21.85546875" customWidth="1"/>
    <col min="4" max="4" width="21.85546875" style="93" customWidth="1"/>
    <col min="5" max="5" width="21.85546875" customWidth="1"/>
    <col min="6" max="6" width="24" customWidth="1"/>
  </cols>
  <sheetData>
    <row r="1" spans="1:6" ht="55.15" customHeight="1" x14ac:dyDescent="0.45">
      <c r="A1" s="334" t="s">
        <v>170</v>
      </c>
      <c r="B1" s="335"/>
      <c r="C1" s="335"/>
      <c r="D1" s="335"/>
      <c r="E1" s="335"/>
      <c r="F1" s="335"/>
    </row>
    <row r="2" spans="1:6" ht="8.4499999999999993" customHeight="1" x14ac:dyDescent="0.4">
      <c r="A2" s="214"/>
      <c r="B2" s="215"/>
      <c r="C2" s="215"/>
      <c r="D2" s="215"/>
      <c r="E2" s="215"/>
      <c r="F2" s="215"/>
    </row>
    <row r="3" spans="1:6" ht="51" customHeight="1" x14ac:dyDescent="0.4">
      <c r="A3" s="338"/>
      <c r="B3" s="336" t="s">
        <v>175</v>
      </c>
      <c r="C3" s="336"/>
      <c r="D3" s="336" t="s">
        <v>166</v>
      </c>
      <c r="E3" s="336"/>
      <c r="F3" s="337" t="s">
        <v>173</v>
      </c>
    </row>
    <row r="4" spans="1:6" ht="101.45" customHeight="1" x14ac:dyDescent="0.25">
      <c r="A4" s="338"/>
      <c r="B4" s="211" t="s">
        <v>161</v>
      </c>
      <c r="C4" s="211" t="s">
        <v>162</v>
      </c>
      <c r="D4" s="211" t="s">
        <v>171</v>
      </c>
      <c r="E4" s="211" t="s">
        <v>172</v>
      </c>
      <c r="F4" s="337"/>
    </row>
    <row r="5" spans="1:6" ht="27.6" customHeight="1" x14ac:dyDescent="0.4">
      <c r="A5" s="210" t="s">
        <v>165</v>
      </c>
      <c r="B5" s="212">
        <v>81.89</v>
      </c>
      <c r="C5" s="213">
        <v>92.99</v>
      </c>
      <c r="D5" s="218">
        <v>94.69</v>
      </c>
      <c r="E5" s="213">
        <v>96.17</v>
      </c>
      <c r="F5" s="219">
        <v>102</v>
      </c>
    </row>
    <row r="6" spans="1:6" ht="27.6" customHeight="1" x14ac:dyDescent="0.4">
      <c r="A6" s="210" t="s">
        <v>163</v>
      </c>
      <c r="B6" s="212">
        <f>ROUND(B5*0.12,2)</f>
        <v>9.83</v>
      </c>
      <c r="C6" s="213">
        <f t="shared" ref="C6:F6" si="0">ROUND(C5*0.12,2)</f>
        <v>11.16</v>
      </c>
      <c r="D6" s="213">
        <f t="shared" si="0"/>
        <v>11.36</v>
      </c>
      <c r="E6" s="213">
        <f t="shared" si="0"/>
        <v>11.54</v>
      </c>
      <c r="F6" s="213">
        <f t="shared" si="0"/>
        <v>12.24</v>
      </c>
    </row>
    <row r="7" spans="1:6" ht="27.6" customHeight="1" x14ac:dyDescent="0.4">
      <c r="A7" s="210" t="s">
        <v>164</v>
      </c>
      <c r="B7" s="212">
        <f>ROUND(B5*0.21,2)</f>
        <v>17.2</v>
      </c>
      <c r="C7" s="213">
        <f t="shared" ref="C7:F7" si="1">ROUND(C5*0.21,2)</f>
        <v>19.53</v>
      </c>
      <c r="D7" s="213">
        <f t="shared" si="1"/>
        <v>19.88</v>
      </c>
      <c r="E7" s="213">
        <f t="shared" si="1"/>
        <v>20.2</v>
      </c>
      <c r="F7" s="213">
        <f t="shared" si="1"/>
        <v>21.42</v>
      </c>
    </row>
    <row r="8" spans="1:6" ht="27.6" customHeight="1" x14ac:dyDescent="0.4">
      <c r="A8" s="220" t="s">
        <v>167</v>
      </c>
      <c r="B8" s="221">
        <f>B5+B6</f>
        <v>91.72</v>
      </c>
      <c r="C8" s="222">
        <f t="shared" ref="C8:F8" si="2">C5+C6</f>
        <v>104.14999999999999</v>
      </c>
      <c r="D8" s="222">
        <f t="shared" si="2"/>
        <v>106.05</v>
      </c>
      <c r="E8" s="222">
        <f t="shared" si="2"/>
        <v>107.71000000000001</v>
      </c>
      <c r="F8" s="222">
        <f t="shared" si="2"/>
        <v>114.24</v>
      </c>
    </row>
    <row r="9" spans="1:6" ht="27.6" customHeight="1" x14ac:dyDescent="0.4">
      <c r="A9" s="210" t="s">
        <v>168</v>
      </c>
      <c r="B9" s="212">
        <f>B5+B7</f>
        <v>99.09</v>
      </c>
      <c r="C9" s="213">
        <f t="shared" ref="C9:F9" si="3">C5+C7</f>
        <v>112.52</v>
      </c>
      <c r="D9" s="213">
        <f t="shared" si="3"/>
        <v>114.57</v>
      </c>
      <c r="E9" s="213">
        <f t="shared" si="3"/>
        <v>116.37</v>
      </c>
      <c r="F9" s="213">
        <f t="shared" si="3"/>
        <v>123.42</v>
      </c>
    </row>
    <row r="10" spans="1:6" ht="15.6" customHeight="1" x14ac:dyDescent="0.4">
      <c r="A10" s="216"/>
      <c r="B10" s="217"/>
      <c r="C10" s="217"/>
      <c r="D10" s="217"/>
      <c r="E10" s="217"/>
      <c r="F10" s="217"/>
    </row>
    <row r="11" spans="1:6" ht="27.6" customHeight="1" x14ac:dyDescent="0.4">
      <c r="A11" s="220" t="s">
        <v>169</v>
      </c>
      <c r="B11" s="221">
        <f>B5</f>
        <v>81.89</v>
      </c>
      <c r="C11" s="222">
        <f>C5</f>
        <v>92.99</v>
      </c>
      <c r="D11" s="221">
        <f>D5</f>
        <v>94.69</v>
      </c>
      <c r="E11" s="222">
        <f>E5</f>
        <v>96.17</v>
      </c>
      <c r="F11" s="223">
        <f>F5+F7</f>
        <v>123.42</v>
      </c>
    </row>
    <row r="14" spans="1:6" ht="43.9" customHeight="1" x14ac:dyDescent="0.35">
      <c r="A14" s="331" t="s">
        <v>174</v>
      </c>
      <c r="B14" s="331"/>
      <c r="C14" s="331"/>
      <c r="D14" s="331"/>
      <c r="E14" s="331"/>
      <c r="F14" s="331"/>
    </row>
  </sheetData>
  <mergeCells count="6">
    <mergeCell ref="A14:F14"/>
    <mergeCell ref="A1:F1"/>
    <mergeCell ref="B3:C3"/>
    <mergeCell ref="D3:E3"/>
    <mergeCell ref="F3:F4"/>
    <mergeCell ref="A3:A4"/>
  </mergeCells>
  <phoneticPr fontId="34" type="noConversion"/>
  <pageMargins left="0.3" right="0.32" top="0.5699999999999999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0C1E-809A-4C6A-A0CB-055153C79E88}">
  <sheetPr>
    <pageSetUpPr fitToPage="1"/>
  </sheetPr>
  <dimension ref="A1:S49"/>
  <sheetViews>
    <sheetView topLeftCell="A9" zoomScale="52" zoomScaleNormal="52" workbookViewId="0">
      <selection activeCell="E28" sqref="E28"/>
    </sheetView>
  </sheetViews>
  <sheetFormatPr defaultRowHeight="15" x14ac:dyDescent="0.25"/>
  <cols>
    <col min="1" max="1" width="19.28515625" customWidth="1"/>
    <col min="2" max="2" width="73.28515625" customWidth="1"/>
    <col min="3" max="3" width="27.140625" customWidth="1"/>
    <col min="4" max="4" width="26.28515625" customWidth="1"/>
    <col min="5" max="5" width="18.28515625" customWidth="1"/>
    <col min="6" max="6" width="65.42578125" hidden="1" customWidth="1"/>
    <col min="7" max="7" width="49.7109375" hidden="1" customWidth="1"/>
    <col min="8" max="8" width="14.85546875" hidden="1" customWidth="1"/>
    <col min="9" max="9" width="10.42578125" customWidth="1"/>
    <col min="10" max="10" width="22.42578125" customWidth="1"/>
    <col min="11" max="11" width="73.28515625" customWidth="1"/>
    <col min="12" max="12" width="36.28515625" customWidth="1"/>
    <col min="13" max="13" width="26.28515625" customWidth="1"/>
    <col min="14" max="14" width="18.7109375" customWidth="1"/>
    <col min="15" max="15" width="72.42578125" hidden="1" customWidth="1"/>
    <col min="16" max="16" width="49.7109375" hidden="1" customWidth="1"/>
    <col min="17" max="17" width="9.85546875" hidden="1" customWidth="1"/>
    <col min="18" max="19" width="12.28515625" hidden="1" customWidth="1"/>
  </cols>
  <sheetData>
    <row r="1" spans="1:17" ht="33" x14ac:dyDescent="0.45">
      <c r="A1" s="290" t="s">
        <v>160</v>
      </c>
      <c r="B1" s="290"/>
      <c r="C1" s="290"/>
      <c r="D1" s="290"/>
      <c r="E1" s="290"/>
      <c r="F1" s="290"/>
      <c r="G1" s="290"/>
      <c r="H1" s="290"/>
      <c r="J1" s="290" t="s">
        <v>160</v>
      </c>
      <c r="K1" s="290"/>
      <c r="L1" s="290"/>
      <c r="M1" s="290"/>
      <c r="N1" s="290"/>
      <c r="O1" s="290"/>
      <c r="P1" s="290"/>
      <c r="Q1" s="290"/>
    </row>
    <row r="2" spans="1:17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  <c r="J2" s="291" t="s">
        <v>1</v>
      </c>
      <c r="K2" s="291"/>
      <c r="L2" s="291"/>
      <c r="M2" s="291"/>
      <c r="N2" s="291"/>
      <c r="O2" s="291"/>
      <c r="P2" s="291"/>
      <c r="Q2" s="291"/>
    </row>
    <row r="3" spans="1:17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  <c r="J3" s="291" t="s">
        <v>2</v>
      </c>
      <c r="K3" s="291"/>
      <c r="L3" s="291"/>
      <c r="M3" s="291"/>
      <c r="N3" s="291"/>
      <c r="O3" s="291"/>
      <c r="P3" s="291"/>
      <c r="Q3" s="291"/>
    </row>
    <row r="4" spans="1:17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  <c r="J4" s="291" t="s">
        <v>3</v>
      </c>
      <c r="K4" s="291"/>
      <c r="L4" s="291"/>
      <c r="M4" s="291"/>
      <c r="N4" s="291"/>
      <c r="O4" s="291"/>
      <c r="P4" s="291"/>
      <c r="Q4" s="291"/>
    </row>
    <row r="5" spans="1:17" s="164" customFormat="1" ht="28.5" x14ac:dyDescent="0.45">
      <c r="A5" s="163"/>
      <c r="B5" s="339" t="s">
        <v>139</v>
      </c>
      <c r="C5" s="339"/>
      <c r="D5" s="339"/>
      <c r="E5" s="163"/>
      <c r="F5" s="163"/>
      <c r="G5" s="163"/>
      <c r="H5" s="163"/>
      <c r="J5" s="163"/>
      <c r="K5" s="339" t="s">
        <v>140</v>
      </c>
      <c r="L5" s="339"/>
      <c r="M5" s="339"/>
      <c r="N5" s="163"/>
      <c r="O5" s="163"/>
      <c r="P5" s="163"/>
      <c r="Q5" s="163"/>
    </row>
    <row r="6" spans="1:17" ht="16.5" thickBot="1" x14ac:dyDescent="0.3">
      <c r="A6" s="326"/>
      <c r="B6" s="326"/>
      <c r="C6" s="326"/>
      <c r="D6" s="326"/>
      <c r="E6" s="326"/>
      <c r="F6" s="292"/>
      <c r="G6" s="292"/>
      <c r="H6" s="292"/>
      <c r="J6" s="326"/>
      <c r="K6" s="326"/>
      <c r="L6" s="326"/>
      <c r="M6" s="326"/>
      <c r="N6" s="326"/>
      <c r="O6" s="326"/>
      <c r="P6" s="326"/>
      <c r="Q6" s="326"/>
    </row>
    <row r="7" spans="1:17" s="51" customFormat="1" ht="122.25" thickBot="1" x14ac:dyDescent="0.4">
      <c r="A7" s="101" t="s">
        <v>4</v>
      </c>
      <c r="B7" s="101" t="s">
        <v>5</v>
      </c>
      <c r="C7" s="101" t="s">
        <v>6</v>
      </c>
      <c r="D7" s="101" t="s">
        <v>7</v>
      </c>
      <c r="E7" s="101" t="s">
        <v>8</v>
      </c>
      <c r="F7" s="294" t="s">
        <v>9</v>
      </c>
      <c r="G7" s="294"/>
      <c r="H7" s="295"/>
      <c r="J7" s="101" t="s">
        <v>4</v>
      </c>
      <c r="K7" s="101" t="s">
        <v>5</v>
      </c>
      <c r="L7" s="101" t="s">
        <v>6</v>
      </c>
      <c r="M7" s="101" t="s">
        <v>7</v>
      </c>
      <c r="N7" s="101" t="s">
        <v>8</v>
      </c>
      <c r="O7" s="327" t="s">
        <v>9</v>
      </c>
      <c r="P7" s="327"/>
      <c r="Q7" s="327"/>
    </row>
    <row r="8" spans="1:17" s="93" customFormat="1" ht="22.9" customHeight="1" thickBot="1" x14ac:dyDescent="0.3">
      <c r="A8" s="328" t="s">
        <v>10</v>
      </c>
      <c r="B8" s="328"/>
      <c r="C8" s="328"/>
      <c r="D8" s="328"/>
      <c r="E8" s="328"/>
      <c r="F8" s="98"/>
      <c r="G8" s="94"/>
      <c r="H8" s="95"/>
      <c r="J8" s="328" t="s">
        <v>10</v>
      </c>
      <c r="K8" s="328"/>
      <c r="L8" s="328"/>
      <c r="M8" s="328"/>
      <c r="N8" s="328"/>
      <c r="O8" s="328"/>
      <c r="P8" s="328"/>
      <c r="Q8" s="328"/>
    </row>
    <row r="9" spans="1:17" ht="20.25" x14ac:dyDescent="0.25">
      <c r="A9" s="58">
        <v>1100</v>
      </c>
      <c r="B9" s="17" t="s">
        <v>11</v>
      </c>
      <c r="C9" s="5">
        <v>749.62</v>
      </c>
      <c r="D9" s="6">
        <f t="shared" ref="D9:D17" si="0">C9/$G$46</f>
        <v>0.68085376930063579</v>
      </c>
      <c r="E9" s="20">
        <f t="shared" ref="E9:E17" si="1">C9/$C$45</f>
        <v>6.9340555247099124E-3</v>
      </c>
      <c r="F9" s="299">
        <v>1013</v>
      </c>
      <c r="G9" s="300"/>
      <c r="H9" s="301"/>
      <c r="J9" s="58">
        <v>1100</v>
      </c>
      <c r="K9" s="17" t="s">
        <v>11</v>
      </c>
      <c r="L9" s="5">
        <v>749.62</v>
      </c>
      <c r="M9" s="108">
        <f>L9/$P$46</f>
        <v>0.68147272727272723</v>
      </c>
      <c r="N9" s="20">
        <f t="shared" ref="N9:N17" si="2">L9/$L$45</f>
        <v>7.330055078816719E-3</v>
      </c>
      <c r="O9" s="282">
        <v>1013</v>
      </c>
      <c r="P9" s="282"/>
      <c r="Q9" s="282"/>
    </row>
    <row r="10" spans="1:17" ht="20.25" x14ac:dyDescent="0.25">
      <c r="A10" s="58">
        <v>1100</v>
      </c>
      <c r="B10" s="17" t="s">
        <v>12</v>
      </c>
      <c r="C10" s="5">
        <v>749.62</v>
      </c>
      <c r="D10" s="6">
        <f t="shared" si="0"/>
        <v>0.68085376930063579</v>
      </c>
      <c r="E10" s="20">
        <f t="shared" si="1"/>
        <v>6.9340555247099124E-3</v>
      </c>
      <c r="F10" s="281">
        <v>1013</v>
      </c>
      <c r="G10" s="282"/>
      <c r="H10" s="283"/>
      <c r="J10" s="58">
        <v>1100</v>
      </c>
      <c r="K10" s="17" t="s">
        <v>12</v>
      </c>
      <c r="L10" s="5">
        <v>749.62</v>
      </c>
      <c r="M10" s="108">
        <f>L10/$P$46</f>
        <v>0.68147272727272723</v>
      </c>
      <c r="N10" s="20">
        <f t="shared" si="2"/>
        <v>7.330055078816719E-3</v>
      </c>
      <c r="O10" s="282">
        <v>1013</v>
      </c>
      <c r="P10" s="282"/>
      <c r="Q10" s="282"/>
    </row>
    <row r="11" spans="1:17" ht="37.5" x14ac:dyDescent="0.25">
      <c r="A11" s="102">
        <v>1100</v>
      </c>
      <c r="B11" s="84" t="s">
        <v>102</v>
      </c>
      <c r="C11" s="85">
        <v>28796.07</v>
      </c>
      <c r="D11" s="86">
        <f t="shared" si="0"/>
        <v>26.154468664850135</v>
      </c>
      <c r="E11" s="20">
        <f t="shared" si="1"/>
        <v>0.26636635665194813</v>
      </c>
      <c r="F11" s="302">
        <v>700</v>
      </c>
      <c r="G11" s="303"/>
      <c r="H11" s="304"/>
      <c r="J11" s="102">
        <v>1100</v>
      </c>
      <c r="K11" s="84" t="s">
        <v>103</v>
      </c>
      <c r="L11" s="91">
        <v>6720</v>
      </c>
      <c r="M11" s="124">
        <f>L11/$P$46</f>
        <v>6.1090909090909093</v>
      </c>
      <c r="N11" s="20">
        <f t="shared" si="2"/>
        <v>6.5710586870212043E-2</v>
      </c>
      <c r="O11" s="309">
        <v>700</v>
      </c>
      <c r="P11" s="309"/>
      <c r="Q11" s="309"/>
    </row>
    <row r="12" spans="1:17" ht="37.5" x14ac:dyDescent="0.25">
      <c r="A12" s="58">
        <v>1100</v>
      </c>
      <c r="B12" s="17" t="s">
        <v>14</v>
      </c>
      <c r="C12" s="7">
        <v>1613.2</v>
      </c>
      <c r="D12" s="6">
        <f t="shared" si="0"/>
        <v>1.465213442325159</v>
      </c>
      <c r="E12" s="20">
        <f t="shared" si="1"/>
        <v>1.4922251770846603E-2</v>
      </c>
      <c r="F12" s="281">
        <v>1090</v>
      </c>
      <c r="G12" s="282"/>
      <c r="H12" s="283"/>
      <c r="J12" s="58">
        <v>1100</v>
      </c>
      <c r="K12" s="17" t="s">
        <v>14</v>
      </c>
      <c r="L12" s="7">
        <v>1613.2</v>
      </c>
      <c r="M12" s="108">
        <f>L12/$P$46</f>
        <v>1.4665454545454546</v>
      </c>
      <c r="N12" s="20">
        <f t="shared" si="2"/>
        <v>1.5774452193307451E-2</v>
      </c>
      <c r="O12" s="282">
        <v>1090</v>
      </c>
      <c r="P12" s="282"/>
      <c r="Q12" s="282"/>
    </row>
    <row r="13" spans="1:17" ht="37.5" x14ac:dyDescent="0.25">
      <c r="A13" s="102">
        <v>1100</v>
      </c>
      <c r="B13" s="84" t="s">
        <v>68</v>
      </c>
      <c r="C13" s="89">
        <v>753.7</v>
      </c>
      <c r="D13" s="86">
        <f t="shared" si="0"/>
        <v>0.68455949137148053</v>
      </c>
      <c r="E13" s="20">
        <f t="shared" si="1"/>
        <v>6.9717959085588178E-3</v>
      </c>
      <c r="F13" s="281">
        <v>780</v>
      </c>
      <c r="G13" s="282"/>
      <c r="H13" s="283"/>
      <c r="J13" s="58"/>
      <c r="K13" s="17"/>
      <c r="L13" s="7"/>
      <c r="M13" s="108"/>
      <c r="N13" s="20">
        <f t="shared" si="2"/>
        <v>0</v>
      </c>
      <c r="O13" s="59"/>
      <c r="P13" s="59"/>
      <c r="Q13" s="59"/>
    </row>
    <row r="14" spans="1:17" ht="20.25" x14ac:dyDescent="0.25">
      <c r="A14" s="58">
        <v>1100</v>
      </c>
      <c r="B14" s="17" t="s">
        <v>16</v>
      </c>
      <c r="C14" s="7">
        <v>76.52</v>
      </c>
      <c r="D14" s="6">
        <f t="shared" si="0"/>
        <v>6.950045413260672E-2</v>
      </c>
      <c r="E14" s="20">
        <f t="shared" si="1"/>
        <v>7.0781719904858785E-4</v>
      </c>
      <c r="F14" s="281">
        <v>1726</v>
      </c>
      <c r="G14" s="282"/>
      <c r="H14" s="283"/>
      <c r="J14" s="58">
        <v>1100</v>
      </c>
      <c r="K14" s="17" t="s">
        <v>16</v>
      </c>
      <c r="L14" s="7">
        <v>76.52</v>
      </c>
      <c r="M14" s="108">
        <f>L14/$P$46</f>
        <v>6.9563636363636355E-2</v>
      </c>
      <c r="N14" s="20">
        <f t="shared" si="2"/>
        <v>7.4824019453997392E-4</v>
      </c>
      <c r="O14" s="282">
        <v>1726</v>
      </c>
      <c r="P14" s="282"/>
      <c r="Q14" s="282"/>
    </row>
    <row r="15" spans="1:17" ht="37.5" x14ac:dyDescent="0.25">
      <c r="A15" s="58">
        <v>1100</v>
      </c>
      <c r="B15" s="17" t="s">
        <v>17</v>
      </c>
      <c r="C15" s="7">
        <v>26.07</v>
      </c>
      <c r="D15" s="6">
        <f t="shared" si="0"/>
        <v>2.3678474114441416E-2</v>
      </c>
      <c r="E15" s="20">
        <f t="shared" si="1"/>
        <v>2.4114995268160856E-4</v>
      </c>
      <c r="F15" s="281">
        <v>1554</v>
      </c>
      <c r="G15" s="282"/>
      <c r="H15" s="283"/>
      <c r="J15" s="58">
        <v>1100</v>
      </c>
      <c r="K15" s="17" t="s">
        <v>17</v>
      </c>
      <c r="L15" s="7">
        <v>26.07</v>
      </c>
      <c r="M15" s="108">
        <f>L15/$P$46</f>
        <v>2.3699999999999999E-2</v>
      </c>
      <c r="N15" s="20">
        <f t="shared" si="2"/>
        <v>2.5492187495631369E-4</v>
      </c>
      <c r="O15" s="282">
        <v>1554</v>
      </c>
      <c r="P15" s="282"/>
      <c r="Q15" s="282"/>
    </row>
    <row r="16" spans="1:17" ht="20.25" x14ac:dyDescent="0.25">
      <c r="A16" s="58">
        <v>1100</v>
      </c>
      <c r="B16" s="17" t="s">
        <v>18</v>
      </c>
      <c r="C16" s="7">
        <v>28.95</v>
      </c>
      <c r="D16" s="6">
        <f t="shared" si="0"/>
        <v>2.6294277929155313E-2</v>
      </c>
      <c r="E16" s="20">
        <f t="shared" si="1"/>
        <v>2.6779022363377703E-4</v>
      </c>
      <c r="F16" s="281">
        <v>1726</v>
      </c>
      <c r="G16" s="282"/>
      <c r="H16" s="283"/>
      <c r="J16" s="58">
        <v>1100</v>
      </c>
      <c r="K16" s="17" t="s">
        <v>18</v>
      </c>
      <c r="L16" s="7">
        <v>28.95</v>
      </c>
      <c r="M16" s="108">
        <f>L16/$P$46</f>
        <v>2.6318181818181817E-2</v>
      </c>
      <c r="N16" s="20">
        <f t="shared" si="2"/>
        <v>2.8308355504354742E-4</v>
      </c>
      <c r="O16" s="282">
        <v>1726</v>
      </c>
      <c r="P16" s="282"/>
      <c r="Q16" s="282"/>
    </row>
    <row r="17" spans="1:19" ht="21.6" customHeight="1" x14ac:dyDescent="0.25">
      <c r="A17" s="102">
        <v>1200</v>
      </c>
      <c r="B17" s="84" t="s">
        <v>19</v>
      </c>
      <c r="C17" s="91">
        <f>SUM(C9:C16)*0.2359</f>
        <v>7736.0456249999997</v>
      </c>
      <c r="D17" s="86">
        <f t="shared" si="0"/>
        <v>7.0263811307901909</v>
      </c>
      <c r="E17" s="20">
        <f t="shared" si="1"/>
        <v>7.1559149843172798E-2</v>
      </c>
      <c r="F17" s="284"/>
      <c r="G17" s="285"/>
      <c r="H17" s="286"/>
      <c r="J17" s="102">
        <v>1200</v>
      </c>
      <c r="K17" s="84" t="s">
        <v>19</v>
      </c>
      <c r="L17" s="91">
        <f>SUM(L9:L16)*0.2359</f>
        <v>2350.5028820000002</v>
      </c>
      <c r="M17" s="124">
        <f>L17/$P$46</f>
        <v>2.1368208018181822</v>
      </c>
      <c r="N17" s="20">
        <f t="shared" si="2"/>
        <v>2.2984066044098923E-2</v>
      </c>
      <c r="O17" s="285"/>
      <c r="P17" s="285"/>
      <c r="Q17" s="285"/>
      <c r="S17" s="52"/>
    </row>
    <row r="18" spans="1:19" ht="20.25" x14ac:dyDescent="0.25">
      <c r="A18" s="319" t="s">
        <v>20</v>
      </c>
      <c r="B18" s="319"/>
      <c r="C18" s="103">
        <f>SUM(C9:C17)</f>
        <v>40529.795624999999</v>
      </c>
      <c r="D18" s="104">
        <f>SUM(D9:D17)</f>
        <v>36.811803474114441</v>
      </c>
      <c r="E18" s="105">
        <f>SUM(E9:E17)</f>
        <v>0.37490442259931017</v>
      </c>
      <c r="F18" s="311"/>
      <c r="G18" s="288"/>
      <c r="H18" s="289"/>
      <c r="J18" s="319" t="s">
        <v>20</v>
      </c>
      <c r="K18" s="319"/>
      <c r="L18" s="103">
        <f>SUM(L9:L17)</f>
        <v>12314.482882000002</v>
      </c>
      <c r="M18" s="103">
        <f>SUM(M9:M17)</f>
        <v>11.194984438181818</v>
      </c>
      <c r="N18" s="105">
        <f>SUM(N9:N17)</f>
        <v>0.12041546088979169</v>
      </c>
      <c r="O18" s="288"/>
      <c r="P18" s="288"/>
      <c r="Q18" s="288"/>
      <c r="R18" s="52">
        <f>SUM(C9:C17)</f>
        <v>40529.795624999999</v>
      </c>
      <c r="S18" s="52">
        <f>SUM(L9:L17)</f>
        <v>12314.482882000002</v>
      </c>
    </row>
    <row r="19" spans="1:19" ht="20.25" x14ac:dyDescent="0.25">
      <c r="A19" s="279">
        <v>2210</v>
      </c>
      <c r="B19" s="17" t="s">
        <v>21</v>
      </c>
      <c r="C19" s="5">
        <f>F19*H19</f>
        <v>60</v>
      </c>
      <c r="D19" s="6">
        <f t="shared" ref="D19:D30" si="3">C19/$G$46</f>
        <v>5.4495912806539509E-2</v>
      </c>
      <c r="E19" s="20">
        <f t="shared" ref="E19:E29" si="4">C19/$C$45</f>
        <v>5.5500564483684366E-4</v>
      </c>
      <c r="F19" s="262">
        <v>5</v>
      </c>
      <c r="G19" s="263"/>
      <c r="H19" s="14">
        <v>12</v>
      </c>
      <c r="J19" s="279">
        <v>2210</v>
      </c>
      <c r="K19" s="17" t="s">
        <v>21</v>
      </c>
      <c r="L19" s="5">
        <f>O19*Q19</f>
        <v>60</v>
      </c>
      <c r="M19" s="108">
        <f t="shared" ref="M19:M29" si="5">L19/$P$46</f>
        <v>5.4545454545454543E-2</v>
      </c>
      <c r="N19" s="20">
        <f t="shared" ref="N19:N29" si="6">L19/$L$45</f>
        <v>5.8670166848403605E-4</v>
      </c>
      <c r="O19" s="263">
        <v>5</v>
      </c>
      <c r="P19" s="263"/>
      <c r="Q19" s="109">
        <v>12</v>
      </c>
    </row>
    <row r="20" spans="1:19" ht="20.25" x14ac:dyDescent="0.25">
      <c r="A20" s="279"/>
      <c r="B20" s="15" t="s">
        <v>22</v>
      </c>
      <c r="C20" s="5">
        <v>540</v>
      </c>
      <c r="D20" s="6">
        <f t="shared" si="3"/>
        <v>0.49046321525885561</v>
      </c>
      <c r="E20" s="20">
        <f t="shared" si="4"/>
        <v>4.9950508035315928E-3</v>
      </c>
      <c r="F20" s="60">
        <v>16</v>
      </c>
      <c r="G20" s="16">
        <v>3</v>
      </c>
      <c r="H20" s="14">
        <v>12</v>
      </c>
      <c r="J20" s="279"/>
      <c r="K20" s="15" t="s">
        <v>22</v>
      </c>
      <c r="L20" s="5">
        <v>540</v>
      </c>
      <c r="M20" s="108">
        <f t="shared" si="5"/>
        <v>0.49090909090909091</v>
      </c>
      <c r="N20" s="20">
        <f t="shared" si="6"/>
        <v>5.280315016356325E-3</v>
      </c>
      <c r="O20" s="110">
        <v>16</v>
      </c>
      <c r="P20" s="16">
        <v>3</v>
      </c>
      <c r="Q20" s="109">
        <v>12</v>
      </c>
    </row>
    <row r="21" spans="1:19" ht="20.25" x14ac:dyDescent="0.25">
      <c r="A21" s="58">
        <v>2222</v>
      </c>
      <c r="B21" s="17" t="s">
        <v>23</v>
      </c>
      <c r="C21" s="5">
        <v>67.98</v>
      </c>
      <c r="D21" s="6">
        <f t="shared" si="3"/>
        <v>6.1743869209809267E-2</v>
      </c>
      <c r="E21" s="20">
        <f t="shared" si="4"/>
        <v>6.288213956001439E-4</v>
      </c>
      <c r="F21" s="61">
        <v>8</v>
      </c>
      <c r="G21" s="264">
        <v>1.45</v>
      </c>
      <c r="H21" s="265"/>
      <c r="J21" s="58">
        <v>2222</v>
      </c>
      <c r="K21" s="17" t="s">
        <v>23</v>
      </c>
      <c r="L21" s="5">
        <v>67.98</v>
      </c>
      <c r="M21" s="108">
        <f t="shared" si="5"/>
        <v>6.1800000000000001E-2</v>
      </c>
      <c r="N21" s="20">
        <f t="shared" si="6"/>
        <v>6.6473299039241296E-4</v>
      </c>
      <c r="O21" s="111">
        <v>8</v>
      </c>
      <c r="P21" s="264">
        <v>1.45</v>
      </c>
      <c r="Q21" s="264"/>
    </row>
    <row r="22" spans="1:19" ht="20.25" x14ac:dyDescent="0.25">
      <c r="A22" s="279">
        <v>2223</v>
      </c>
      <c r="B22" s="15" t="s">
        <v>24</v>
      </c>
      <c r="C22" s="5">
        <f>F22*G22</f>
        <v>3116.7929400000003</v>
      </c>
      <c r="D22" s="6">
        <f t="shared" si="3"/>
        <v>2.8308746049046323</v>
      </c>
      <c r="E22" s="20">
        <f t="shared" si="4"/>
        <v>2.8830627924793698E-2</v>
      </c>
      <c r="F22" s="87">
        <v>24762</v>
      </c>
      <c r="G22" s="266">
        <v>0.12587000000000001</v>
      </c>
      <c r="H22" s="267"/>
      <c r="J22" s="279">
        <v>2223</v>
      </c>
      <c r="K22" s="15" t="s">
        <v>24</v>
      </c>
      <c r="L22" s="5">
        <f>O22*P22</f>
        <v>3116.7929400000003</v>
      </c>
      <c r="M22" s="108">
        <f t="shared" si="5"/>
        <v>2.8334481272727277</v>
      </c>
      <c r="N22" s="20">
        <f t="shared" si="6"/>
        <v>3.0477126970287739E-2</v>
      </c>
      <c r="O22" s="112">
        <v>24762</v>
      </c>
      <c r="P22" s="266">
        <v>0.12587000000000001</v>
      </c>
      <c r="Q22" s="266"/>
    </row>
    <row r="23" spans="1:19" ht="24.6" customHeight="1" x14ac:dyDescent="0.25">
      <c r="A23" s="279"/>
      <c r="B23" s="15" t="s">
        <v>25</v>
      </c>
      <c r="C23" s="5">
        <f>F23*G23</f>
        <v>787.19999999999993</v>
      </c>
      <c r="D23" s="6">
        <f t="shared" si="3"/>
        <v>0.71498637602179826</v>
      </c>
      <c r="E23" s="20">
        <f t="shared" si="4"/>
        <v>7.2816740602593879E-3</v>
      </c>
      <c r="F23" s="63">
        <v>12</v>
      </c>
      <c r="G23" s="268">
        <v>65.599999999999994</v>
      </c>
      <c r="H23" s="269"/>
      <c r="J23" s="279"/>
      <c r="K23" s="15" t="s">
        <v>25</v>
      </c>
      <c r="L23" s="5">
        <f>O23*P23</f>
        <v>787.19999999999993</v>
      </c>
      <c r="M23" s="108">
        <f t="shared" si="5"/>
        <v>0.71563636363636363</v>
      </c>
      <c r="N23" s="20">
        <f t="shared" si="6"/>
        <v>7.6975258905105527E-3</v>
      </c>
      <c r="O23" s="109">
        <v>12</v>
      </c>
      <c r="P23" s="268">
        <v>65.599999999999994</v>
      </c>
      <c r="Q23" s="268"/>
    </row>
    <row r="24" spans="1:19" ht="37.5" x14ac:dyDescent="0.25">
      <c r="A24" s="102">
        <v>2243</v>
      </c>
      <c r="B24" s="84" t="s">
        <v>142</v>
      </c>
      <c r="C24" s="91">
        <v>2163.33</v>
      </c>
      <c r="D24" s="86">
        <f t="shared" si="3"/>
        <v>1.9648773841961853</v>
      </c>
      <c r="E24" s="20">
        <f t="shared" si="4"/>
        <v>2.0011006027414815E-2</v>
      </c>
      <c r="F24" s="270" t="s">
        <v>27</v>
      </c>
      <c r="G24" s="271"/>
      <c r="H24" s="272"/>
      <c r="J24" s="102">
        <v>2243</v>
      </c>
      <c r="K24" s="84" t="s">
        <v>143</v>
      </c>
      <c r="L24" s="91">
        <v>2201</v>
      </c>
      <c r="M24" s="124">
        <f t="shared" si="5"/>
        <v>2.000909090909091</v>
      </c>
      <c r="N24" s="20">
        <f t="shared" si="6"/>
        <v>2.1522172872222724E-2</v>
      </c>
      <c r="O24" s="271" t="s">
        <v>27</v>
      </c>
      <c r="P24" s="271"/>
      <c r="Q24" s="271"/>
    </row>
    <row r="25" spans="1:19" ht="20.25" x14ac:dyDescent="0.25">
      <c r="A25" s="58">
        <v>2310</v>
      </c>
      <c r="B25" s="17" t="s">
        <v>28</v>
      </c>
      <c r="C25" s="5">
        <v>40</v>
      </c>
      <c r="D25" s="6">
        <f t="shared" si="3"/>
        <v>3.6330608537693009E-2</v>
      </c>
      <c r="E25" s="20">
        <f t="shared" si="4"/>
        <v>3.7000376322456242E-4</v>
      </c>
      <c r="F25" s="270" t="s">
        <v>29</v>
      </c>
      <c r="G25" s="271"/>
      <c r="H25" s="272"/>
      <c r="J25" s="58">
        <v>2310</v>
      </c>
      <c r="K25" s="17" t="s">
        <v>28</v>
      </c>
      <c r="L25" s="5">
        <v>40</v>
      </c>
      <c r="M25" s="108">
        <f t="shared" si="5"/>
        <v>3.6363636363636362E-2</v>
      </c>
      <c r="N25" s="20">
        <f t="shared" si="6"/>
        <v>3.9113444565602403E-4</v>
      </c>
      <c r="O25" s="271" t="s">
        <v>29</v>
      </c>
      <c r="P25" s="271"/>
      <c r="Q25" s="271"/>
    </row>
    <row r="26" spans="1:19" ht="41.25" x14ac:dyDescent="0.25">
      <c r="A26" s="102">
        <v>2321</v>
      </c>
      <c r="B26" s="84" t="s">
        <v>100</v>
      </c>
      <c r="C26" s="91">
        <f>F26*G26</f>
        <v>54000</v>
      </c>
      <c r="D26" s="86">
        <f t="shared" si="3"/>
        <v>49.04632152588556</v>
      </c>
      <c r="E26" s="20">
        <f t="shared" si="4"/>
        <v>0.49950508035315927</v>
      </c>
      <c r="F26" s="92">
        <v>1200</v>
      </c>
      <c r="G26" s="273">
        <v>45</v>
      </c>
      <c r="H26" s="274"/>
      <c r="J26" s="102">
        <v>2321</v>
      </c>
      <c r="K26" s="84" t="s">
        <v>99</v>
      </c>
      <c r="L26" s="91">
        <f>1921*22</f>
        <v>42262</v>
      </c>
      <c r="M26" s="124">
        <f t="shared" si="5"/>
        <v>38.42</v>
      </c>
      <c r="N26" s="20">
        <f t="shared" si="6"/>
        <v>0.41325309855787223</v>
      </c>
      <c r="O26" s="113">
        <v>1625</v>
      </c>
      <c r="P26" s="313">
        <v>25</v>
      </c>
      <c r="Q26" s="313"/>
    </row>
    <row r="27" spans="1:19" ht="37.5" x14ac:dyDescent="0.25">
      <c r="A27" s="102">
        <v>2322</v>
      </c>
      <c r="B27" s="84" t="s">
        <v>141</v>
      </c>
      <c r="C27" s="91">
        <v>500</v>
      </c>
      <c r="D27" s="86">
        <f t="shared" si="3"/>
        <v>0.45413260672116257</v>
      </c>
      <c r="E27" s="20">
        <f t="shared" si="4"/>
        <v>4.6250470403070305E-3</v>
      </c>
      <c r="F27" s="64" t="s">
        <v>32</v>
      </c>
      <c r="G27" s="18"/>
      <c r="H27" s="19"/>
      <c r="J27" s="102">
        <v>2233</v>
      </c>
      <c r="K27" s="84" t="s">
        <v>86</v>
      </c>
      <c r="L27" s="91">
        <v>2000</v>
      </c>
      <c r="M27" s="124">
        <f t="shared" si="5"/>
        <v>1.8181818181818181</v>
      </c>
      <c r="N27" s="20">
        <f t="shared" si="6"/>
        <v>1.9556722282801201E-2</v>
      </c>
      <c r="O27" s="114"/>
      <c r="P27" s="66"/>
      <c r="Q27" s="66"/>
    </row>
    <row r="28" spans="1:19" ht="37.5" x14ac:dyDescent="0.25">
      <c r="A28" s="102">
        <v>2350</v>
      </c>
      <c r="B28" s="84" t="s">
        <v>67</v>
      </c>
      <c r="C28" s="91">
        <v>250</v>
      </c>
      <c r="D28" s="86">
        <f t="shared" si="3"/>
        <v>0.22706630336058128</v>
      </c>
      <c r="E28" s="20">
        <f t="shared" si="4"/>
        <v>2.3125235201535152E-3</v>
      </c>
      <c r="F28" s="275" t="s">
        <v>34</v>
      </c>
      <c r="G28" s="276"/>
      <c r="H28" s="277"/>
      <c r="J28" s="102">
        <v>2350</v>
      </c>
      <c r="K28" s="84" t="s">
        <v>33</v>
      </c>
      <c r="L28" s="91">
        <v>100</v>
      </c>
      <c r="M28" s="124">
        <f t="shared" si="5"/>
        <v>9.0909090909090912E-2</v>
      </c>
      <c r="N28" s="20">
        <f t="shared" si="6"/>
        <v>9.7783611414006019E-4</v>
      </c>
      <c r="O28" s="276" t="s">
        <v>56</v>
      </c>
      <c r="P28" s="276"/>
      <c r="Q28" s="276"/>
    </row>
    <row r="29" spans="1:19" ht="21.6" customHeight="1" x14ac:dyDescent="0.25">
      <c r="A29" s="58">
        <v>2515</v>
      </c>
      <c r="B29" s="17" t="s">
        <v>35</v>
      </c>
      <c r="C29" s="5">
        <v>627.19000000000005</v>
      </c>
      <c r="D29" s="6">
        <f t="shared" si="3"/>
        <v>0.56965485921889192</v>
      </c>
      <c r="E29" s="20">
        <f t="shared" si="4"/>
        <v>5.8015665064203329E-3</v>
      </c>
      <c r="F29" s="278"/>
      <c r="G29" s="279"/>
      <c r="H29" s="280"/>
      <c r="J29" s="58">
        <v>2515</v>
      </c>
      <c r="K29" s="17" t="s">
        <v>35</v>
      </c>
      <c r="L29" s="5">
        <v>627.19000000000005</v>
      </c>
      <c r="M29" s="108">
        <f t="shared" si="5"/>
        <v>0.57017272727272728</v>
      </c>
      <c r="N29" s="20">
        <f t="shared" si="6"/>
        <v>6.1328903242750437E-3</v>
      </c>
      <c r="O29" s="279"/>
      <c r="P29" s="279"/>
      <c r="Q29" s="279"/>
    </row>
    <row r="30" spans="1:19" ht="22.9" customHeight="1" thickBot="1" x14ac:dyDescent="0.3">
      <c r="A30" s="319" t="s">
        <v>36</v>
      </c>
      <c r="B30" s="319"/>
      <c r="C30" s="106">
        <f>SUM(C19:C29)</f>
        <v>62152.492940000004</v>
      </c>
      <c r="D30" s="104">
        <f t="shared" si="3"/>
        <v>56.450947266121709</v>
      </c>
      <c r="E30" s="105">
        <f>SUM(E19:E29)</f>
        <v>0.57491640703970137</v>
      </c>
      <c r="F30" s="329"/>
      <c r="G30" s="258"/>
      <c r="H30" s="259"/>
      <c r="J30" s="319" t="s">
        <v>36</v>
      </c>
      <c r="K30" s="319"/>
      <c r="L30" s="106">
        <f>SUM(L19:L29)</f>
        <v>51802.162940000002</v>
      </c>
      <c r="M30" s="106">
        <f>SUM(M19:M29)</f>
        <v>47.092875400000004</v>
      </c>
      <c r="N30" s="105">
        <f>SUM(N19:N29)</f>
        <v>0.50654025713299833</v>
      </c>
      <c r="O30" s="279"/>
      <c r="P30" s="279"/>
      <c r="Q30" s="279"/>
      <c r="R30" s="52">
        <f>SUM(C19:C29)</f>
        <v>62152.492940000004</v>
      </c>
      <c r="S30" s="52">
        <f>SUM(L19:L29)</f>
        <v>51802.162940000002</v>
      </c>
    </row>
    <row r="31" spans="1:19" ht="22.9" customHeight="1" thickBot="1" x14ac:dyDescent="0.3">
      <c r="A31" s="318" t="s">
        <v>37</v>
      </c>
      <c r="B31" s="318"/>
      <c r="C31" s="318"/>
      <c r="D31" s="318"/>
      <c r="E31" s="318"/>
      <c r="F31" s="96"/>
      <c r="G31" s="96"/>
      <c r="H31" s="97"/>
      <c r="J31" s="318" t="s">
        <v>37</v>
      </c>
      <c r="K31" s="318"/>
      <c r="L31" s="318"/>
      <c r="M31" s="318"/>
      <c r="N31" s="318"/>
      <c r="O31" s="318"/>
      <c r="P31" s="318"/>
      <c r="Q31" s="318"/>
    </row>
    <row r="32" spans="1:19" ht="42" customHeight="1" x14ac:dyDescent="0.3">
      <c r="A32" s="239" t="s">
        <v>38</v>
      </c>
      <c r="B32" s="239"/>
      <c r="C32" s="5">
        <v>334.92</v>
      </c>
      <c r="D32" s="6">
        <f t="shared" ref="D32:D44" si="7">C32/$G$46</f>
        <v>0.30419618528610354</v>
      </c>
      <c r="E32" s="20">
        <f t="shared" ref="E32:E43" si="8">C32/$C$45</f>
        <v>3.0980415094792615E-3</v>
      </c>
      <c r="F32" s="23"/>
      <c r="G32" s="24"/>
      <c r="H32" s="25"/>
      <c r="J32" s="239" t="s">
        <v>38</v>
      </c>
      <c r="K32" s="239"/>
      <c r="L32" s="5">
        <v>334.92</v>
      </c>
      <c r="M32" s="108">
        <f t="shared" ref="M32:M41" si="9">L32/$P$46</f>
        <v>0.30447272727272728</v>
      </c>
      <c r="N32" s="20">
        <f t="shared" ref="N32:N41" si="10">L32/$L$45</f>
        <v>3.2749687134778897E-3</v>
      </c>
      <c r="O32" s="58"/>
      <c r="P32" s="115"/>
      <c r="Q32" s="115"/>
    </row>
    <row r="33" spans="1:19" ht="40.9" customHeight="1" x14ac:dyDescent="0.3">
      <c r="A33" s="325" t="s">
        <v>144</v>
      </c>
      <c r="B33" s="325"/>
      <c r="C33" s="107">
        <v>3565.02</v>
      </c>
      <c r="D33" s="56">
        <f t="shared" si="7"/>
        <v>3.2379836512261582</v>
      </c>
      <c r="E33" s="20">
        <f t="shared" si="8"/>
        <v>3.2976770399270737E-2</v>
      </c>
      <c r="F33" s="27"/>
      <c r="G33" s="28"/>
      <c r="H33" s="29"/>
      <c r="J33" s="325" t="s">
        <v>58</v>
      </c>
      <c r="K33" s="325"/>
      <c r="L33" s="116">
        <v>31681.19</v>
      </c>
      <c r="M33" s="122">
        <f t="shared" si="9"/>
        <v>28.801081818181817</v>
      </c>
      <c r="N33" s="20">
        <f t="shared" si="10"/>
        <v>0.30979011720932931</v>
      </c>
      <c r="O33" s="58"/>
      <c r="P33" s="115"/>
      <c r="Q33" s="115"/>
    </row>
    <row r="34" spans="1:19" ht="39" customHeight="1" x14ac:dyDescent="0.3">
      <c r="A34" s="239" t="s">
        <v>39</v>
      </c>
      <c r="B34" s="239"/>
      <c r="C34" s="5">
        <v>93.24</v>
      </c>
      <c r="D34" s="6">
        <f t="shared" si="7"/>
        <v>8.4686648501362399E-2</v>
      </c>
      <c r="E34" s="20">
        <f t="shared" si="8"/>
        <v>8.6247877207645493E-4</v>
      </c>
      <c r="F34" s="30"/>
      <c r="G34" s="31"/>
      <c r="H34" s="32"/>
      <c r="J34" s="239" t="s">
        <v>39</v>
      </c>
      <c r="K34" s="239"/>
      <c r="L34" s="5">
        <v>93.24</v>
      </c>
      <c r="M34" s="108">
        <f t="shared" si="9"/>
        <v>8.476363636363636E-2</v>
      </c>
      <c r="N34" s="20">
        <f t="shared" si="10"/>
        <v>9.1173439282419199E-4</v>
      </c>
      <c r="O34" s="58"/>
      <c r="P34" s="115"/>
      <c r="Q34" s="115"/>
    </row>
    <row r="35" spans="1:19" ht="39" customHeight="1" x14ac:dyDescent="0.3">
      <c r="A35" s="239" t="s">
        <v>40</v>
      </c>
      <c r="B35" s="239"/>
      <c r="C35" s="5">
        <v>93.24</v>
      </c>
      <c r="D35" s="6">
        <f t="shared" si="7"/>
        <v>8.4686648501362399E-2</v>
      </c>
      <c r="E35" s="20">
        <f t="shared" si="8"/>
        <v>8.6247877207645493E-4</v>
      </c>
      <c r="F35" s="30"/>
      <c r="G35" s="31"/>
      <c r="H35" s="32"/>
      <c r="J35" s="239" t="s">
        <v>40</v>
      </c>
      <c r="K35" s="239"/>
      <c r="L35" s="5">
        <v>93.24</v>
      </c>
      <c r="M35" s="108">
        <f t="shared" si="9"/>
        <v>8.476363636363636E-2</v>
      </c>
      <c r="N35" s="20">
        <f t="shared" si="10"/>
        <v>9.1173439282419199E-4</v>
      </c>
      <c r="O35" s="58"/>
      <c r="P35" s="115"/>
      <c r="Q35" s="115"/>
    </row>
    <row r="36" spans="1:19" ht="39" customHeight="1" x14ac:dyDescent="0.3">
      <c r="A36" s="239" t="s">
        <v>40</v>
      </c>
      <c r="B36" s="239"/>
      <c r="C36" s="5">
        <v>93.24</v>
      </c>
      <c r="D36" s="6">
        <f t="shared" si="7"/>
        <v>8.4686648501362399E-2</v>
      </c>
      <c r="E36" s="20">
        <f t="shared" si="8"/>
        <v>8.6247877207645493E-4</v>
      </c>
      <c r="F36" s="30"/>
      <c r="G36" s="31"/>
      <c r="H36" s="32"/>
      <c r="J36" s="239" t="s">
        <v>40</v>
      </c>
      <c r="K36" s="239"/>
      <c r="L36" s="5">
        <v>93.24</v>
      </c>
      <c r="M36" s="108">
        <f t="shared" si="9"/>
        <v>8.476363636363636E-2</v>
      </c>
      <c r="N36" s="20">
        <f t="shared" si="10"/>
        <v>9.1173439282419199E-4</v>
      </c>
      <c r="O36" s="58"/>
      <c r="P36" s="115"/>
      <c r="Q36" s="115"/>
    </row>
    <row r="37" spans="1:19" ht="39" customHeight="1" x14ac:dyDescent="0.3">
      <c r="A37" s="239" t="s">
        <v>41</v>
      </c>
      <c r="B37" s="239"/>
      <c r="C37" s="5">
        <v>93.24</v>
      </c>
      <c r="D37" s="6">
        <f t="shared" si="7"/>
        <v>8.4686648501362399E-2</v>
      </c>
      <c r="E37" s="20">
        <f t="shared" si="8"/>
        <v>8.6247877207645493E-4</v>
      </c>
      <c r="F37" s="30"/>
      <c r="G37" s="31"/>
      <c r="H37" s="32"/>
      <c r="J37" s="239" t="s">
        <v>41</v>
      </c>
      <c r="K37" s="239"/>
      <c r="L37" s="5">
        <v>93.24</v>
      </c>
      <c r="M37" s="108">
        <f t="shared" si="9"/>
        <v>8.476363636363636E-2</v>
      </c>
      <c r="N37" s="20">
        <f t="shared" si="10"/>
        <v>9.1173439282419199E-4</v>
      </c>
      <c r="O37" s="58"/>
      <c r="P37" s="115"/>
      <c r="Q37" s="115"/>
    </row>
    <row r="38" spans="1:19" ht="39" customHeight="1" x14ac:dyDescent="0.3">
      <c r="A38" s="239" t="s">
        <v>42</v>
      </c>
      <c r="B38" s="239"/>
      <c r="C38" s="5">
        <v>35.64</v>
      </c>
      <c r="D38" s="6">
        <f t="shared" si="7"/>
        <v>3.2370572207084468E-2</v>
      </c>
      <c r="E38" s="20">
        <f t="shared" si="8"/>
        <v>3.2967335303308513E-4</v>
      </c>
      <c r="F38" s="30"/>
      <c r="G38" s="31"/>
      <c r="H38" s="32"/>
      <c r="J38" s="239" t="s">
        <v>42</v>
      </c>
      <c r="K38" s="239"/>
      <c r="L38" s="5">
        <v>35.64</v>
      </c>
      <c r="M38" s="108">
        <f t="shared" si="9"/>
        <v>3.2399999999999998E-2</v>
      </c>
      <c r="N38" s="20">
        <f t="shared" si="10"/>
        <v>3.4850079107951745E-4</v>
      </c>
      <c r="O38" s="58"/>
      <c r="P38" s="115"/>
      <c r="Q38" s="115"/>
    </row>
    <row r="39" spans="1:19" ht="39" customHeight="1" x14ac:dyDescent="0.3">
      <c r="A39" s="239" t="s">
        <v>45</v>
      </c>
      <c r="B39" s="239"/>
      <c r="C39" s="5">
        <v>91.68</v>
      </c>
      <c r="D39" s="6">
        <f t="shared" si="7"/>
        <v>8.3269754768392379E-2</v>
      </c>
      <c r="E39" s="20">
        <f t="shared" si="8"/>
        <v>8.4804862531069711E-4</v>
      </c>
      <c r="F39" s="30"/>
      <c r="G39" s="31"/>
      <c r="H39" s="32"/>
      <c r="J39" s="239" t="s">
        <v>45</v>
      </c>
      <c r="K39" s="239"/>
      <c r="L39" s="5">
        <v>91.68</v>
      </c>
      <c r="M39" s="108">
        <f t="shared" si="9"/>
        <v>8.3345454545454556E-2</v>
      </c>
      <c r="N39" s="20">
        <f t="shared" si="10"/>
        <v>8.9648014944360718E-4</v>
      </c>
      <c r="O39" s="58"/>
      <c r="P39" s="115"/>
      <c r="Q39" s="115"/>
    </row>
    <row r="40" spans="1:19" ht="39" customHeight="1" x14ac:dyDescent="0.3">
      <c r="A40" s="239" t="s">
        <v>46</v>
      </c>
      <c r="B40" s="239"/>
      <c r="C40" s="5">
        <v>81.599999999999994</v>
      </c>
      <c r="D40" s="6">
        <f t="shared" si="7"/>
        <v>7.4114441416893731E-2</v>
      </c>
      <c r="E40" s="20">
        <f t="shared" si="8"/>
        <v>7.5480767697810728E-4</v>
      </c>
      <c r="F40" s="30"/>
      <c r="G40" s="31"/>
      <c r="H40" s="32"/>
      <c r="J40" s="239" t="s">
        <v>46</v>
      </c>
      <c r="K40" s="239"/>
      <c r="L40" s="5">
        <v>81.599999999999994</v>
      </c>
      <c r="M40" s="108">
        <f t="shared" si="9"/>
        <v>7.4181818181818182E-2</v>
      </c>
      <c r="N40" s="20">
        <f t="shared" si="10"/>
        <v>7.9791426913828896E-4</v>
      </c>
      <c r="O40" s="58"/>
      <c r="P40" s="115"/>
      <c r="Q40" s="115"/>
    </row>
    <row r="41" spans="1:19" ht="39" customHeight="1" x14ac:dyDescent="0.3">
      <c r="A41" s="239" t="s">
        <v>47</v>
      </c>
      <c r="B41" s="239"/>
      <c r="C41" s="5">
        <v>271.68</v>
      </c>
      <c r="D41" s="6">
        <f t="shared" si="7"/>
        <v>0.24675749318801091</v>
      </c>
      <c r="E41" s="20">
        <f t="shared" si="8"/>
        <v>2.5130655598212281E-3</v>
      </c>
      <c r="F41" s="30"/>
      <c r="G41" s="31"/>
      <c r="H41" s="32"/>
      <c r="J41" s="239" t="s">
        <v>47</v>
      </c>
      <c r="K41" s="239"/>
      <c r="L41" s="5">
        <v>271.68</v>
      </c>
      <c r="M41" s="108">
        <f t="shared" si="9"/>
        <v>0.24698181818181819</v>
      </c>
      <c r="N41" s="20">
        <f t="shared" si="10"/>
        <v>2.6565851548957155E-3</v>
      </c>
      <c r="O41" s="58"/>
      <c r="P41" s="115"/>
      <c r="Q41" s="115"/>
    </row>
    <row r="42" spans="1:19" ht="39" customHeight="1" x14ac:dyDescent="0.3">
      <c r="A42" s="340" t="s">
        <v>48</v>
      </c>
      <c r="B42" s="340"/>
      <c r="C42" s="91">
        <v>77.040000000000006</v>
      </c>
      <c r="D42" s="86">
        <f t="shared" si="7"/>
        <v>6.9972752043596737E-2</v>
      </c>
      <c r="E42" s="20">
        <f t="shared" si="8"/>
        <v>7.1262724797050727E-4</v>
      </c>
      <c r="F42" s="30"/>
      <c r="G42" s="31"/>
      <c r="H42" s="32"/>
      <c r="J42" s="239"/>
      <c r="K42" s="239"/>
      <c r="L42" s="123"/>
      <c r="M42" s="123"/>
      <c r="N42" s="20"/>
      <c r="O42" s="58"/>
      <c r="P42" s="115"/>
      <c r="Q42" s="115"/>
    </row>
    <row r="43" spans="1:19" ht="39" customHeight="1" x14ac:dyDescent="0.3">
      <c r="A43" s="341" t="s">
        <v>59</v>
      </c>
      <c r="B43" s="341"/>
      <c r="C43" s="141">
        <v>594.17999999999995</v>
      </c>
      <c r="D43" s="142">
        <f t="shared" si="7"/>
        <v>0.53967302452316068</v>
      </c>
      <c r="E43" s="20">
        <f t="shared" si="8"/>
        <v>5.4962209008192616E-3</v>
      </c>
      <c r="F43" s="30"/>
      <c r="G43" s="31"/>
      <c r="H43" s="32"/>
      <c r="J43" s="341" t="s">
        <v>59</v>
      </c>
      <c r="K43" s="341"/>
      <c r="L43" s="141">
        <v>5280.31</v>
      </c>
      <c r="M43" s="122">
        <f>L43/$P$46</f>
        <v>4.8002818181818183</v>
      </c>
      <c r="N43" s="20">
        <f>L43/$L$45</f>
        <v>5.1632778118549015E-2</v>
      </c>
      <c r="O43" s="58"/>
      <c r="P43" s="115"/>
      <c r="Q43" s="115"/>
      <c r="R43" s="52">
        <f>SUM(C32:C43)</f>
        <v>5424.7200000000012</v>
      </c>
      <c r="S43" s="52">
        <f>SUM(L32:L43)</f>
        <v>38149.979999999996</v>
      </c>
    </row>
    <row r="44" spans="1:19" ht="23.45" customHeight="1" x14ac:dyDescent="0.3">
      <c r="A44" s="319" t="s">
        <v>50</v>
      </c>
      <c r="B44" s="319"/>
      <c r="C44" s="106">
        <f>SUM(C32:C43)</f>
        <v>5424.7200000000012</v>
      </c>
      <c r="D44" s="104">
        <f t="shared" si="7"/>
        <v>4.9270844686648516</v>
      </c>
      <c r="E44" s="105">
        <f>SUM(E32:E43)</f>
        <v>5.0179170360988713E-2</v>
      </c>
      <c r="F44" s="30"/>
      <c r="G44" s="33"/>
      <c r="H44" s="34"/>
      <c r="J44" s="319" t="s">
        <v>50</v>
      </c>
      <c r="K44" s="319"/>
      <c r="L44" s="106">
        <f>SUM(L32:L43)</f>
        <v>38149.979999999996</v>
      </c>
      <c r="M44" s="106">
        <f>SUM(M32:M43)</f>
        <v>34.681799999999996</v>
      </c>
      <c r="N44" s="105">
        <f>SUM(N32:N43)</f>
        <v>0.37304428197721012</v>
      </c>
      <c r="O44" s="58"/>
      <c r="P44" s="117"/>
      <c r="Q44" s="117"/>
    </row>
    <row r="45" spans="1:19" ht="24" thickBot="1" x14ac:dyDescent="0.4">
      <c r="A45" s="320" t="s">
        <v>51</v>
      </c>
      <c r="B45" s="320"/>
      <c r="C45" s="321">
        <f>C30+C44+C18</f>
        <v>108107.008565</v>
      </c>
      <c r="D45" s="322">
        <f>C45/B48</f>
        <v>98.279098695454536</v>
      </c>
      <c r="E45" s="323">
        <f>SUM(E44,E30,E18)</f>
        <v>1.0000000000000002</v>
      </c>
      <c r="F45" s="99"/>
      <c r="G45" s="36"/>
      <c r="H45" s="37"/>
      <c r="J45" s="320" t="s">
        <v>51</v>
      </c>
      <c r="K45" s="320"/>
      <c r="L45" s="321">
        <f>L30+L44+L18</f>
        <v>102266.62582199999</v>
      </c>
      <c r="M45" s="322">
        <f>L45/K48</f>
        <v>92.969659838181812</v>
      </c>
      <c r="N45" s="323">
        <f>SUM(N44,N30,N18)</f>
        <v>1</v>
      </c>
      <c r="O45" s="118"/>
      <c r="P45" s="119"/>
      <c r="Q45" s="119"/>
      <c r="R45" s="125">
        <f>SUM(R7:R43)</f>
        <v>108107.008565</v>
      </c>
      <c r="S45" s="125">
        <f>SUM(S7:S43)</f>
        <v>102266.625822</v>
      </c>
    </row>
    <row r="46" spans="1:19" ht="68.45" customHeight="1" thickBot="1" x14ac:dyDescent="0.3">
      <c r="A46" s="324" t="s">
        <v>60</v>
      </c>
      <c r="B46" s="324"/>
      <c r="C46" s="321"/>
      <c r="D46" s="322"/>
      <c r="E46" s="323"/>
      <c r="F46" s="100">
        <v>1100</v>
      </c>
      <c r="G46" s="71">
        <v>1101</v>
      </c>
      <c r="H46" s="39"/>
      <c r="J46" s="324" t="s">
        <v>60</v>
      </c>
      <c r="K46" s="324"/>
      <c r="L46" s="321"/>
      <c r="M46" s="322"/>
      <c r="N46" s="323"/>
      <c r="O46" s="120">
        <v>1100</v>
      </c>
      <c r="P46" s="121">
        <v>1100</v>
      </c>
      <c r="Q46" s="120"/>
    </row>
    <row r="48" spans="1:19" hidden="1" x14ac:dyDescent="0.25">
      <c r="B48">
        <v>1100</v>
      </c>
      <c r="D48" s="52">
        <f>C45/1100</f>
        <v>98.279098695454536</v>
      </c>
      <c r="K48">
        <v>1100</v>
      </c>
      <c r="M48" s="125">
        <f>L45/K48</f>
        <v>92.969659838181812</v>
      </c>
    </row>
    <row r="49" s="130" customFormat="1" ht="18.75" x14ac:dyDescent="0.3"/>
  </sheetData>
  <mergeCells count="101">
    <mergeCell ref="L45:L46"/>
    <mergeCell ref="M45:M46"/>
    <mergeCell ref="N45:N46"/>
    <mergeCell ref="A46:B46"/>
    <mergeCell ref="J46:K46"/>
    <mergeCell ref="A44:B44"/>
    <mergeCell ref="J44:K44"/>
    <mergeCell ref="A45:B45"/>
    <mergeCell ref="C45:C46"/>
    <mergeCell ref="D45:D46"/>
    <mergeCell ref="E45:E46"/>
    <mergeCell ref="J45:K45"/>
    <mergeCell ref="A41:B41"/>
    <mergeCell ref="J41:K41"/>
    <mergeCell ref="A42:B42"/>
    <mergeCell ref="J42:K42"/>
    <mergeCell ref="A43:B43"/>
    <mergeCell ref="J43:K43"/>
    <mergeCell ref="A39:B39"/>
    <mergeCell ref="J39:K39"/>
    <mergeCell ref="A40:B40"/>
    <mergeCell ref="J40:K40"/>
    <mergeCell ref="A37:B37"/>
    <mergeCell ref="J37:K37"/>
    <mergeCell ref="A38:B38"/>
    <mergeCell ref="J38:K38"/>
    <mergeCell ref="A34:B34"/>
    <mergeCell ref="J34:K34"/>
    <mergeCell ref="A35:B35"/>
    <mergeCell ref="J35:K35"/>
    <mergeCell ref="A36:B36"/>
    <mergeCell ref="J36:K36"/>
    <mergeCell ref="A31:E31"/>
    <mergeCell ref="J31:Q31"/>
    <mergeCell ref="A32:B32"/>
    <mergeCell ref="J32:K32"/>
    <mergeCell ref="A33:B33"/>
    <mergeCell ref="J33:K33"/>
    <mergeCell ref="F28:H28"/>
    <mergeCell ref="O28:Q28"/>
    <mergeCell ref="F29:H29"/>
    <mergeCell ref="O29:Q29"/>
    <mergeCell ref="A30:B30"/>
    <mergeCell ref="F30:H30"/>
    <mergeCell ref="J30:K30"/>
    <mergeCell ref="O30:Q30"/>
    <mergeCell ref="F24:H24"/>
    <mergeCell ref="O24:Q24"/>
    <mergeCell ref="F25:H25"/>
    <mergeCell ref="O25:Q25"/>
    <mergeCell ref="G26:H26"/>
    <mergeCell ref="P26:Q26"/>
    <mergeCell ref="G21:H21"/>
    <mergeCell ref="P21:Q21"/>
    <mergeCell ref="A22:A23"/>
    <mergeCell ref="G22:H22"/>
    <mergeCell ref="J22:J23"/>
    <mergeCell ref="P22:Q22"/>
    <mergeCell ref="G23:H23"/>
    <mergeCell ref="P23:Q23"/>
    <mergeCell ref="A18:B18"/>
    <mergeCell ref="F18:H18"/>
    <mergeCell ref="J18:K18"/>
    <mergeCell ref="O18:Q18"/>
    <mergeCell ref="A19:A20"/>
    <mergeCell ref="F19:G19"/>
    <mergeCell ref="J19:J20"/>
    <mergeCell ref="O19:P19"/>
    <mergeCell ref="F15:H15"/>
    <mergeCell ref="O15:Q15"/>
    <mergeCell ref="F16:H16"/>
    <mergeCell ref="O16:Q16"/>
    <mergeCell ref="F17:H17"/>
    <mergeCell ref="O17:Q17"/>
    <mergeCell ref="F11:H11"/>
    <mergeCell ref="O11:Q11"/>
    <mergeCell ref="F12:H12"/>
    <mergeCell ref="O12:Q12"/>
    <mergeCell ref="F13:H13"/>
    <mergeCell ref="F14:H14"/>
    <mergeCell ref="O14:Q14"/>
    <mergeCell ref="A8:E8"/>
    <mergeCell ref="J8:Q8"/>
    <mergeCell ref="F9:H9"/>
    <mergeCell ref="O9:Q9"/>
    <mergeCell ref="F10:H10"/>
    <mergeCell ref="O10:Q10"/>
    <mergeCell ref="A4:H4"/>
    <mergeCell ref="J4:Q4"/>
    <mergeCell ref="A6:H6"/>
    <mergeCell ref="J6:Q6"/>
    <mergeCell ref="F7:H7"/>
    <mergeCell ref="O7:Q7"/>
    <mergeCell ref="A1:H1"/>
    <mergeCell ref="J1:Q1"/>
    <mergeCell ref="A2:H2"/>
    <mergeCell ref="J2:Q2"/>
    <mergeCell ref="A3:H3"/>
    <mergeCell ref="J3:Q3"/>
    <mergeCell ref="B5:D5"/>
    <mergeCell ref="K5:M5"/>
  </mergeCells>
  <pageMargins left="0.7" right="0.7" top="0.75" bottom="0.75" header="0.3" footer="0.3"/>
  <pageSetup paperSize="8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721B-DFE1-4361-A47E-38F54EBC93F6}">
  <sheetPr>
    <pageSetUpPr fitToPage="1"/>
  </sheetPr>
  <dimension ref="A1:S58"/>
  <sheetViews>
    <sheetView tabSelected="1" topLeftCell="A22" zoomScale="58" zoomScaleNormal="58" workbookViewId="0">
      <selection activeCell="M16" sqref="M16"/>
    </sheetView>
  </sheetViews>
  <sheetFormatPr defaultRowHeight="15" x14ac:dyDescent="0.25"/>
  <cols>
    <col min="1" max="1" width="19.28515625" customWidth="1"/>
    <col min="2" max="2" width="73.28515625" customWidth="1"/>
    <col min="3" max="3" width="27.140625" customWidth="1"/>
    <col min="4" max="4" width="26.28515625" customWidth="1"/>
    <col min="5" max="5" width="18.28515625" customWidth="1"/>
    <col min="6" max="6" width="65.42578125" hidden="1" customWidth="1"/>
    <col min="7" max="7" width="49.7109375" hidden="1" customWidth="1"/>
    <col min="8" max="8" width="14.85546875" hidden="1" customWidth="1"/>
    <col min="9" max="9" width="11.28515625" customWidth="1"/>
    <col min="10" max="10" width="22.42578125" customWidth="1"/>
    <col min="11" max="11" width="73.28515625" customWidth="1"/>
    <col min="12" max="12" width="36.28515625" customWidth="1"/>
    <col min="13" max="13" width="26.28515625" customWidth="1"/>
    <col min="14" max="14" width="18.7109375" customWidth="1"/>
    <col min="15" max="15" width="72.42578125" hidden="1" customWidth="1"/>
    <col min="16" max="16" width="49.7109375" hidden="1" customWidth="1"/>
    <col min="17" max="17" width="9.85546875" hidden="1" customWidth="1"/>
    <col min="18" max="19" width="12.28515625" hidden="1" customWidth="1"/>
  </cols>
  <sheetData>
    <row r="1" spans="1:17" ht="33" x14ac:dyDescent="0.45">
      <c r="A1" s="290" t="s">
        <v>160</v>
      </c>
      <c r="B1" s="290"/>
      <c r="C1" s="290"/>
      <c r="D1" s="290"/>
      <c r="E1" s="290"/>
      <c r="F1" s="290"/>
      <c r="G1" s="290"/>
      <c r="H1" s="290"/>
      <c r="J1" s="290" t="s">
        <v>160</v>
      </c>
      <c r="K1" s="290"/>
      <c r="L1" s="290"/>
      <c r="M1" s="290"/>
      <c r="N1" s="290"/>
      <c r="O1" s="290"/>
      <c r="P1" s="290"/>
      <c r="Q1" s="290"/>
    </row>
    <row r="2" spans="1:17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  <c r="J2" s="291" t="s">
        <v>1</v>
      </c>
      <c r="K2" s="291"/>
      <c r="L2" s="291"/>
      <c r="M2" s="291"/>
      <c r="N2" s="291"/>
      <c r="O2" s="291"/>
      <c r="P2" s="291"/>
      <c r="Q2" s="291"/>
    </row>
    <row r="3" spans="1:17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  <c r="J3" s="291" t="s">
        <v>2</v>
      </c>
      <c r="K3" s="291"/>
      <c r="L3" s="291"/>
      <c r="M3" s="291"/>
      <c r="N3" s="291"/>
      <c r="O3" s="291"/>
      <c r="P3" s="291"/>
      <c r="Q3" s="291"/>
    </row>
    <row r="4" spans="1:17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  <c r="J4" s="291" t="s">
        <v>3</v>
      </c>
      <c r="K4" s="291"/>
      <c r="L4" s="291"/>
      <c r="M4" s="291"/>
      <c r="N4" s="291"/>
      <c r="O4" s="291"/>
      <c r="P4" s="291"/>
      <c r="Q4" s="291"/>
    </row>
    <row r="5" spans="1:17" s="164" customFormat="1" ht="28.5" x14ac:dyDescent="0.45">
      <c r="A5" s="163"/>
      <c r="B5" s="339" t="s">
        <v>139</v>
      </c>
      <c r="C5" s="339"/>
      <c r="D5" s="339"/>
      <c r="E5" s="163"/>
      <c r="F5" s="163"/>
      <c r="G5" s="163"/>
      <c r="H5" s="163"/>
      <c r="J5" s="163"/>
      <c r="K5" s="339" t="s">
        <v>140</v>
      </c>
      <c r="L5" s="339"/>
      <c r="M5" s="339"/>
      <c r="N5" s="163"/>
      <c r="O5" s="163"/>
      <c r="P5" s="163"/>
      <c r="Q5" s="163"/>
    </row>
    <row r="6" spans="1:17" ht="16.5" thickBot="1" x14ac:dyDescent="0.3">
      <c r="A6" s="326"/>
      <c r="B6" s="326"/>
      <c r="C6" s="326"/>
      <c r="D6" s="326"/>
      <c r="E6" s="326"/>
      <c r="F6" s="292"/>
      <c r="G6" s="292"/>
      <c r="H6" s="292"/>
      <c r="J6" s="326"/>
      <c r="K6" s="326"/>
      <c r="L6" s="326"/>
      <c r="M6" s="326"/>
      <c r="N6" s="326"/>
      <c r="O6" s="326"/>
      <c r="P6" s="326"/>
      <c r="Q6" s="326"/>
    </row>
    <row r="7" spans="1:17" s="51" customFormat="1" ht="122.25" thickBot="1" x14ac:dyDescent="0.4">
      <c r="A7" s="101" t="s">
        <v>4</v>
      </c>
      <c r="B7" s="101" t="s">
        <v>5</v>
      </c>
      <c r="C7" s="101" t="s">
        <v>6</v>
      </c>
      <c r="D7" s="101" t="s">
        <v>7</v>
      </c>
      <c r="E7" s="101" t="s">
        <v>8</v>
      </c>
      <c r="F7" s="294" t="s">
        <v>9</v>
      </c>
      <c r="G7" s="294"/>
      <c r="H7" s="295"/>
      <c r="J7" s="101" t="s">
        <v>4</v>
      </c>
      <c r="K7" s="101" t="s">
        <v>5</v>
      </c>
      <c r="L7" s="101" t="s">
        <v>6</v>
      </c>
      <c r="M7" s="101" t="s">
        <v>7</v>
      </c>
      <c r="N7" s="101" t="s">
        <v>8</v>
      </c>
      <c r="O7" s="327" t="s">
        <v>9</v>
      </c>
      <c r="P7" s="327"/>
      <c r="Q7" s="327"/>
    </row>
    <row r="8" spans="1:17" s="93" customFormat="1" ht="22.9" customHeight="1" thickBot="1" x14ac:dyDescent="0.3">
      <c r="A8" s="328" t="s">
        <v>10</v>
      </c>
      <c r="B8" s="328"/>
      <c r="C8" s="328"/>
      <c r="D8" s="328"/>
      <c r="E8" s="328"/>
      <c r="F8" s="98"/>
      <c r="G8" s="94"/>
      <c r="H8" s="95"/>
      <c r="J8" s="328" t="s">
        <v>10</v>
      </c>
      <c r="K8" s="328"/>
      <c r="L8" s="328"/>
      <c r="M8" s="328"/>
      <c r="N8" s="328"/>
      <c r="O8" s="328"/>
      <c r="P8" s="328"/>
      <c r="Q8" s="328"/>
    </row>
    <row r="9" spans="1:17" ht="20.25" x14ac:dyDescent="0.25">
      <c r="A9" s="58">
        <v>1100</v>
      </c>
      <c r="B9" s="17" t="s">
        <v>11</v>
      </c>
      <c r="C9" s="5">
        <v>749.62</v>
      </c>
      <c r="D9" s="6">
        <v>0.68085376930063579</v>
      </c>
      <c r="E9" s="20">
        <v>7.085978696670334E-3</v>
      </c>
      <c r="F9" s="299">
        <v>1013</v>
      </c>
      <c r="G9" s="300"/>
      <c r="H9" s="301"/>
      <c r="J9" s="58">
        <v>1100</v>
      </c>
      <c r="K9" s="17" t="s">
        <v>11</v>
      </c>
      <c r="L9" s="5">
        <v>749.62</v>
      </c>
      <c r="M9" s="108">
        <v>0.68147272727272723</v>
      </c>
      <c r="N9" s="20">
        <v>7.1967784097886406E-3</v>
      </c>
      <c r="O9" s="282">
        <v>1013</v>
      </c>
      <c r="P9" s="282"/>
      <c r="Q9" s="282"/>
    </row>
    <row r="10" spans="1:17" ht="20.25" x14ac:dyDescent="0.25">
      <c r="A10" s="58">
        <v>1100</v>
      </c>
      <c r="B10" s="17" t="s">
        <v>12</v>
      </c>
      <c r="C10" s="5">
        <v>749.62</v>
      </c>
      <c r="D10" s="6">
        <v>0.68085376930063579</v>
      </c>
      <c r="E10" s="20">
        <v>7.085978696670334E-3</v>
      </c>
      <c r="F10" s="281">
        <v>1013</v>
      </c>
      <c r="G10" s="282"/>
      <c r="H10" s="283"/>
      <c r="J10" s="58">
        <v>1100</v>
      </c>
      <c r="K10" s="17" t="s">
        <v>12</v>
      </c>
      <c r="L10" s="5">
        <v>749.62</v>
      </c>
      <c r="M10" s="108">
        <v>0.68147272727272723</v>
      </c>
      <c r="N10" s="20">
        <v>7.1967784097886406E-3</v>
      </c>
      <c r="O10" s="282">
        <v>1013</v>
      </c>
      <c r="P10" s="282"/>
      <c r="Q10" s="282"/>
    </row>
    <row r="11" spans="1:17" ht="37.5" x14ac:dyDescent="0.25">
      <c r="A11" s="102">
        <v>1100</v>
      </c>
      <c r="B11" s="84" t="s">
        <v>102</v>
      </c>
      <c r="C11" s="85">
        <v>28796.07</v>
      </c>
      <c r="D11" s="86">
        <v>26.154468664850135</v>
      </c>
      <c r="E11" s="20">
        <v>0.2722023672898638</v>
      </c>
      <c r="F11" s="302">
        <v>700</v>
      </c>
      <c r="G11" s="303"/>
      <c r="H11" s="304"/>
      <c r="J11" s="102">
        <v>1100</v>
      </c>
      <c r="K11" s="84" t="s">
        <v>103</v>
      </c>
      <c r="L11" s="91">
        <v>6720</v>
      </c>
      <c r="M11" s="124">
        <v>6.1090909090909093</v>
      </c>
      <c r="N11" s="20">
        <v>6.451582256847424E-2</v>
      </c>
      <c r="O11" s="309">
        <v>700</v>
      </c>
      <c r="P11" s="309"/>
      <c r="Q11" s="309"/>
    </row>
    <row r="12" spans="1:17" ht="37.5" x14ac:dyDescent="0.25">
      <c r="A12" s="58">
        <v>1100</v>
      </c>
      <c r="B12" s="17" t="s">
        <v>14</v>
      </c>
      <c r="C12" s="7">
        <v>1613.2</v>
      </c>
      <c r="D12" s="6">
        <v>1.465213442325159</v>
      </c>
      <c r="E12" s="20">
        <v>1.5249194036269821E-2</v>
      </c>
      <c r="F12" s="281">
        <v>1090</v>
      </c>
      <c r="G12" s="282"/>
      <c r="H12" s="283"/>
      <c r="J12" s="58">
        <v>1100</v>
      </c>
      <c r="K12" s="17" t="s">
        <v>14</v>
      </c>
      <c r="L12" s="7">
        <v>1613.2</v>
      </c>
      <c r="M12" s="108">
        <v>1.4665454545454546</v>
      </c>
      <c r="N12" s="20">
        <v>1.5487637643967657E-2</v>
      </c>
      <c r="O12" s="282">
        <v>1090</v>
      </c>
      <c r="P12" s="282"/>
      <c r="Q12" s="282"/>
    </row>
    <row r="13" spans="1:17" ht="37.5" x14ac:dyDescent="0.25">
      <c r="A13" s="102">
        <v>1100</v>
      </c>
      <c r="B13" s="84" t="s">
        <v>68</v>
      </c>
      <c r="C13" s="89">
        <v>753.7</v>
      </c>
      <c r="D13" s="86">
        <v>0.68455949137148053</v>
      </c>
      <c r="E13" s="20">
        <v>7.1245459615277493E-3</v>
      </c>
      <c r="F13" s="281">
        <v>780</v>
      </c>
      <c r="G13" s="282"/>
      <c r="H13" s="283"/>
      <c r="J13" s="58"/>
      <c r="K13" s="17"/>
      <c r="L13" s="7"/>
      <c r="M13" s="108"/>
      <c r="N13" s="20">
        <v>0</v>
      </c>
      <c r="O13" s="59"/>
      <c r="P13" s="59"/>
      <c r="Q13" s="59"/>
    </row>
    <row r="14" spans="1:17" ht="20.25" x14ac:dyDescent="0.25">
      <c r="A14" s="58">
        <v>1100</v>
      </c>
      <c r="B14" s="17" t="s">
        <v>16</v>
      </c>
      <c r="C14" s="7">
        <v>76.52</v>
      </c>
      <c r="D14" s="6">
        <v>6.950045413260672E-2</v>
      </c>
      <c r="E14" s="20">
        <v>7.2332527129640876E-4</v>
      </c>
      <c r="F14" s="281">
        <v>1726</v>
      </c>
      <c r="G14" s="282"/>
      <c r="H14" s="283"/>
      <c r="J14" s="58">
        <v>1100</v>
      </c>
      <c r="K14" s="17" t="s">
        <v>16</v>
      </c>
      <c r="L14" s="7">
        <v>76.52</v>
      </c>
      <c r="M14" s="108">
        <v>6.9563636363636355E-2</v>
      </c>
      <c r="N14" s="20">
        <v>7.3463552722316202E-4</v>
      </c>
      <c r="O14" s="282">
        <v>1726</v>
      </c>
      <c r="P14" s="282"/>
      <c r="Q14" s="282"/>
    </row>
    <row r="15" spans="1:17" ht="37.5" x14ac:dyDescent="0.25">
      <c r="A15" s="58">
        <v>1100</v>
      </c>
      <c r="B15" s="17" t="s">
        <v>17</v>
      </c>
      <c r="C15" s="7">
        <v>26.07</v>
      </c>
      <c r="D15" s="6">
        <v>2.3678474114441416E-2</v>
      </c>
      <c r="E15" s="20">
        <v>2.464334791256845E-4</v>
      </c>
      <c r="F15" s="281">
        <v>1554</v>
      </c>
      <c r="G15" s="282"/>
      <c r="H15" s="283"/>
      <c r="J15" s="58">
        <v>1100</v>
      </c>
      <c r="K15" s="17" t="s">
        <v>17</v>
      </c>
      <c r="L15" s="7">
        <v>26.07</v>
      </c>
      <c r="M15" s="108">
        <v>2.3699999999999999E-2</v>
      </c>
      <c r="N15" s="20">
        <v>2.5028682951787551E-4</v>
      </c>
      <c r="O15" s="282">
        <v>1554</v>
      </c>
      <c r="P15" s="282"/>
      <c r="Q15" s="282"/>
    </row>
    <row r="16" spans="1:17" ht="20.25" x14ac:dyDescent="0.25">
      <c r="A16" s="58">
        <v>1100</v>
      </c>
      <c r="B16" s="17" t="s">
        <v>18</v>
      </c>
      <c r="C16" s="7">
        <v>28.95</v>
      </c>
      <c r="D16" s="6">
        <v>2.6294277929155313E-2</v>
      </c>
      <c r="E16" s="20">
        <v>2.7365743078974167E-4</v>
      </c>
      <c r="F16" s="281">
        <v>1726</v>
      </c>
      <c r="G16" s="282"/>
      <c r="H16" s="283"/>
      <c r="J16" s="58">
        <v>1100</v>
      </c>
      <c r="K16" s="17" t="s">
        <v>18</v>
      </c>
      <c r="L16" s="7">
        <v>28.95</v>
      </c>
      <c r="M16" s="108">
        <v>2.6318181818181817E-2</v>
      </c>
      <c r="N16" s="20">
        <v>2.7793646776150732E-4</v>
      </c>
      <c r="O16" s="282">
        <v>1726</v>
      </c>
      <c r="P16" s="282"/>
      <c r="Q16" s="282"/>
    </row>
    <row r="17" spans="1:19" ht="21.6" customHeight="1" x14ac:dyDescent="0.25">
      <c r="A17" s="102">
        <v>1200</v>
      </c>
      <c r="B17" s="84" t="s">
        <v>19</v>
      </c>
      <c r="C17" s="91">
        <v>7736.0456249999997</v>
      </c>
      <c r="D17" s="86">
        <v>7.0263811307901909</v>
      </c>
      <c r="E17" s="20">
        <v>7.3126990335396255E-2</v>
      </c>
      <c r="F17" s="284"/>
      <c r="G17" s="285"/>
      <c r="H17" s="286"/>
      <c r="J17" s="102">
        <v>1200</v>
      </c>
      <c r="K17" s="84" t="s">
        <v>19</v>
      </c>
      <c r="L17" s="91">
        <v>2350.5028820000002</v>
      </c>
      <c r="M17" s="124">
        <v>2.1368208018181822</v>
      </c>
      <c r="N17" s="20">
        <v>2.2566164714553479E-2</v>
      </c>
      <c r="O17" s="285"/>
      <c r="P17" s="285"/>
      <c r="Q17" s="285"/>
      <c r="S17" s="52"/>
    </row>
    <row r="18" spans="1:19" ht="20.25" x14ac:dyDescent="0.25">
      <c r="A18" s="319" t="s">
        <v>179</v>
      </c>
      <c r="B18" s="319"/>
      <c r="C18" s="103">
        <v>40529.795624999999</v>
      </c>
      <c r="D18" s="104">
        <v>36.811803474114441</v>
      </c>
      <c r="E18" s="105">
        <v>0.38311847119761011</v>
      </c>
      <c r="F18" s="311"/>
      <c r="G18" s="288"/>
      <c r="H18" s="289"/>
      <c r="J18" s="319" t="s">
        <v>179</v>
      </c>
      <c r="K18" s="319"/>
      <c r="L18" s="103">
        <v>12314.482882000002</v>
      </c>
      <c r="M18" s="103">
        <v>11.194984438181818</v>
      </c>
      <c r="N18" s="105">
        <v>0.11822604057107519</v>
      </c>
      <c r="O18" s="288"/>
      <c r="P18" s="288"/>
      <c r="Q18" s="288"/>
      <c r="R18" s="52">
        <v>40529.795624999999</v>
      </c>
      <c r="S18" s="52">
        <v>12314.482882000002</v>
      </c>
    </row>
    <row r="19" spans="1:19" ht="20.25" x14ac:dyDescent="0.25">
      <c r="A19" s="279">
        <v>2210</v>
      </c>
      <c r="B19" s="17" t="s">
        <v>21</v>
      </c>
      <c r="C19" s="5">
        <v>60</v>
      </c>
      <c r="D19" s="6">
        <v>5.4495912806539509E-2</v>
      </c>
      <c r="E19" s="20">
        <v>5.6716565966785843E-4</v>
      </c>
      <c r="F19" s="262">
        <v>5</v>
      </c>
      <c r="G19" s="263"/>
      <c r="H19" s="14">
        <v>12</v>
      </c>
      <c r="J19" s="279">
        <v>2210</v>
      </c>
      <c r="K19" s="17" t="s">
        <v>21</v>
      </c>
      <c r="L19" s="5">
        <v>60</v>
      </c>
      <c r="M19" s="108">
        <v>5.4545454545454543E-2</v>
      </c>
      <c r="N19" s="20">
        <v>5.7603413007566292E-4</v>
      </c>
      <c r="O19" s="263">
        <v>5</v>
      </c>
      <c r="P19" s="263"/>
      <c r="Q19" s="109">
        <v>12</v>
      </c>
    </row>
    <row r="20" spans="1:19" ht="20.25" x14ac:dyDescent="0.25">
      <c r="A20" s="279"/>
      <c r="B20" s="15" t="s">
        <v>22</v>
      </c>
      <c r="C20" s="5">
        <v>540</v>
      </c>
      <c r="D20" s="6">
        <v>0.49046321525885561</v>
      </c>
      <c r="E20" s="20">
        <v>5.1044909370107257E-3</v>
      </c>
      <c r="F20" s="60">
        <v>16</v>
      </c>
      <c r="G20" s="16">
        <v>3</v>
      </c>
      <c r="H20" s="14">
        <v>12</v>
      </c>
      <c r="J20" s="279"/>
      <c r="K20" s="15" t="s">
        <v>22</v>
      </c>
      <c r="L20" s="5">
        <v>540</v>
      </c>
      <c r="M20" s="108">
        <v>0.49090909090909091</v>
      </c>
      <c r="N20" s="20">
        <v>5.1843071706809659E-3</v>
      </c>
      <c r="O20" s="110">
        <v>16</v>
      </c>
      <c r="P20" s="16">
        <v>3</v>
      </c>
      <c r="Q20" s="109">
        <v>12</v>
      </c>
    </row>
    <row r="21" spans="1:19" ht="20.25" x14ac:dyDescent="0.25">
      <c r="A21" s="58">
        <v>2222</v>
      </c>
      <c r="B21" s="17" t="s">
        <v>23</v>
      </c>
      <c r="C21" s="5">
        <v>67.98</v>
      </c>
      <c r="D21" s="6">
        <v>6.1743869209809267E-2</v>
      </c>
      <c r="E21" s="20">
        <v>6.4259869240368363E-4</v>
      </c>
      <c r="F21" s="61">
        <v>8</v>
      </c>
      <c r="G21" s="264">
        <v>1.45</v>
      </c>
      <c r="H21" s="265"/>
      <c r="J21" s="58">
        <v>2222</v>
      </c>
      <c r="K21" s="17" t="s">
        <v>23</v>
      </c>
      <c r="L21" s="5">
        <v>67.98</v>
      </c>
      <c r="M21" s="108">
        <v>6.1800000000000001E-2</v>
      </c>
      <c r="N21" s="20">
        <v>6.5264666937572607E-4</v>
      </c>
      <c r="O21" s="111">
        <v>8</v>
      </c>
      <c r="P21" s="264">
        <v>1.45</v>
      </c>
      <c r="Q21" s="264"/>
    </row>
    <row r="22" spans="1:19" ht="38.450000000000003" customHeight="1" x14ac:dyDescent="0.25">
      <c r="A22" s="279">
        <v>2223</v>
      </c>
      <c r="B22" s="225" t="s">
        <v>182</v>
      </c>
      <c r="C22" s="5">
        <v>4179.3819000000003</v>
      </c>
      <c r="D22" s="6">
        <v>3.795987193460491</v>
      </c>
      <c r="E22" s="20">
        <v>3.9506698205290132E-2</v>
      </c>
      <c r="F22" s="87">
        <v>24762</v>
      </c>
      <c r="G22" s="266">
        <v>0.12587000000000001</v>
      </c>
      <c r="H22" s="267"/>
      <c r="J22" s="279">
        <v>2223</v>
      </c>
      <c r="K22" s="225" t="s">
        <v>182</v>
      </c>
      <c r="L22" s="5">
        <v>4179.3819000000003</v>
      </c>
      <c r="M22" s="108">
        <v>3.7994380909090912</v>
      </c>
      <c r="N22" s="20">
        <v>4.0124443617007857E-2</v>
      </c>
      <c r="O22" s="112">
        <v>24762</v>
      </c>
      <c r="P22" s="266">
        <v>0.12587000000000001</v>
      </c>
      <c r="Q22" s="266"/>
    </row>
    <row r="23" spans="1:19" ht="24.6" customHeight="1" x14ac:dyDescent="0.25">
      <c r="A23" s="279"/>
      <c r="B23" s="15" t="s">
        <v>177</v>
      </c>
      <c r="C23" s="5">
        <v>787.19999999999993</v>
      </c>
      <c r="D23" s="6">
        <v>0.71498637602179826</v>
      </c>
      <c r="E23" s="20">
        <v>7.4412134548423022E-3</v>
      </c>
      <c r="F23" s="63">
        <v>12</v>
      </c>
      <c r="G23" s="268">
        <v>65.599999999999994</v>
      </c>
      <c r="H23" s="269"/>
      <c r="J23" s="279"/>
      <c r="K23" s="15" t="s">
        <v>177</v>
      </c>
      <c r="L23" s="5">
        <v>787.19999999999993</v>
      </c>
      <c r="M23" s="108">
        <v>0.71563636363636363</v>
      </c>
      <c r="N23" s="20">
        <v>7.5575677865926966E-3</v>
      </c>
      <c r="O23" s="109">
        <v>12</v>
      </c>
      <c r="P23" s="268">
        <v>65.599999999999994</v>
      </c>
      <c r="Q23" s="268"/>
    </row>
    <row r="24" spans="1:19" ht="37.5" x14ac:dyDescent="0.25">
      <c r="A24" s="102">
        <v>2243</v>
      </c>
      <c r="B24" s="84" t="s">
        <v>142</v>
      </c>
      <c r="C24" s="91">
        <v>2163.33</v>
      </c>
      <c r="D24" s="86">
        <v>1.9648773841961853</v>
      </c>
      <c r="E24" s="20">
        <v>2.0449441442154468E-2</v>
      </c>
      <c r="F24" s="270" t="s">
        <v>27</v>
      </c>
      <c r="G24" s="271"/>
      <c r="H24" s="272"/>
      <c r="J24" s="102">
        <v>2243</v>
      </c>
      <c r="K24" s="84" t="s">
        <v>178</v>
      </c>
      <c r="L24" s="91">
        <v>2201</v>
      </c>
      <c r="M24" s="124">
        <v>2.000909090909091</v>
      </c>
      <c r="N24" s="20">
        <v>2.1130852004942233E-2</v>
      </c>
      <c r="O24" s="271" t="s">
        <v>27</v>
      </c>
      <c r="P24" s="271"/>
      <c r="Q24" s="271"/>
    </row>
    <row r="25" spans="1:19" ht="20.25" x14ac:dyDescent="0.25">
      <c r="A25" s="58">
        <v>2310</v>
      </c>
      <c r="B25" s="17" t="s">
        <v>28</v>
      </c>
      <c r="C25" s="5">
        <v>40</v>
      </c>
      <c r="D25" s="6">
        <v>3.6330608537693009E-2</v>
      </c>
      <c r="E25" s="20">
        <v>3.7811043977857231E-4</v>
      </c>
      <c r="F25" s="270" t="s">
        <v>29</v>
      </c>
      <c r="G25" s="271"/>
      <c r="H25" s="272"/>
      <c r="J25" s="58">
        <v>2310</v>
      </c>
      <c r="K25" s="17" t="s">
        <v>28</v>
      </c>
      <c r="L25" s="5">
        <v>40</v>
      </c>
      <c r="M25" s="108">
        <v>3.6363636363636362E-2</v>
      </c>
      <c r="N25" s="20">
        <v>3.8402275338377526E-4</v>
      </c>
      <c r="O25" s="271" t="s">
        <v>29</v>
      </c>
      <c r="P25" s="271"/>
      <c r="Q25" s="271"/>
    </row>
    <row r="26" spans="1:19" ht="41.25" x14ac:dyDescent="0.25">
      <c r="A26" s="102">
        <v>2321</v>
      </c>
      <c r="B26" s="224" t="s">
        <v>181</v>
      </c>
      <c r="C26" s="91">
        <v>51641.999999999993</v>
      </c>
      <c r="D26" s="86">
        <v>46.904632152588547</v>
      </c>
      <c r="E26" s="20">
        <v>0.48815948327612568</v>
      </c>
      <c r="F26" s="92">
        <v>1200</v>
      </c>
      <c r="G26" s="273">
        <v>45</v>
      </c>
      <c r="H26" s="274"/>
      <c r="J26" s="102">
        <v>2321</v>
      </c>
      <c r="K26" s="84" t="s">
        <v>176</v>
      </c>
      <c r="L26" s="91">
        <v>42262</v>
      </c>
      <c r="M26" s="124">
        <v>38.42</v>
      </c>
      <c r="N26" s="20">
        <v>0.40573924008762774</v>
      </c>
      <c r="O26" s="113">
        <v>1625</v>
      </c>
      <c r="P26" s="313">
        <v>25</v>
      </c>
      <c r="Q26" s="313"/>
    </row>
    <row r="27" spans="1:19" ht="37.5" x14ac:dyDescent="0.25">
      <c r="A27" s="102">
        <v>2322</v>
      </c>
      <c r="B27" s="84" t="s">
        <v>141</v>
      </c>
      <c r="C27" s="91">
        <v>500</v>
      </c>
      <c r="D27" s="86">
        <v>0.45413260672116257</v>
      </c>
      <c r="E27" s="20">
        <v>4.7263804972321535E-3</v>
      </c>
      <c r="F27" s="64" t="s">
        <v>32</v>
      </c>
      <c r="G27" s="18"/>
      <c r="H27" s="19"/>
      <c r="J27" s="102">
        <v>2233</v>
      </c>
      <c r="K27" s="84" t="s">
        <v>86</v>
      </c>
      <c r="L27" s="91">
        <v>2000</v>
      </c>
      <c r="M27" s="124">
        <v>1.8181818181818181</v>
      </c>
      <c r="N27" s="20">
        <v>1.9201137669188763E-2</v>
      </c>
      <c r="O27" s="114"/>
      <c r="P27" s="66"/>
      <c r="Q27" s="66"/>
    </row>
    <row r="28" spans="1:19" ht="37.5" x14ac:dyDescent="0.25">
      <c r="A28" s="102">
        <v>2350</v>
      </c>
      <c r="B28" s="84" t="s">
        <v>67</v>
      </c>
      <c r="C28" s="91">
        <v>250</v>
      </c>
      <c r="D28" s="86">
        <v>0.22706630336058128</v>
      </c>
      <c r="E28" s="20">
        <v>2.3631902486160768E-3</v>
      </c>
      <c r="F28" s="275" t="s">
        <v>34</v>
      </c>
      <c r="G28" s="276"/>
      <c r="H28" s="277"/>
      <c r="J28" s="102">
        <v>2350</v>
      </c>
      <c r="K28" s="84" t="s">
        <v>33</v>
      </c>
      <c r="L28" s="91">
        <v>100</v>
      </c>
      <c r="M28" s="124">
        <v>9.0909090909090912E-2</v>
      </c>
      <c r="N28" s="20">
        <v>9.6005688345943813E-4</v>
      </c>
      <c r="O28" s="276" t="s">
        <v>56</v>
      </c>
      <c r="P28" s="276"/>
      <c r="Q28" s="276"/>
    </row>
    <row r="29" spans="1:19" ht="21.6" customHeight="1" x14ac:dyDescent="0.25">
      <c r="A29" s="58">
        <v>2515</v>
      </c>
      <c r="B29" s="17" t="s">
        <v>35</v>
      </c>
      <c r="C29" s="5">
        <v>627.19000000000005</v>
      </c>
      <c r="D29" s="6">
        <v>0.56965485921889192</v>
      </c>
      <c r="E29" s="20">
        <v>5.9286771681180692E-3</v>
      </c>
      <c r="F29" s="278"/>
      <c r="G29" s="279"/>
      <c r="H29" s="280"/>
      <c r="J29" s="58">
        <v>2515</v>
      </c>
      <c r="K29" s="17" t="s">
        <v>35</v>
      </c>
      <c r="L29" s="5">
        <v>627.19000000000005</v>
      </c>
      <c r="M29" s="108">
        <v>0.57017272727272728</v>
      </c>
      <c r="N29" s="20">
        <v>6.0213807673692504E-3</v>
      </c>
      <c r="O29" s="279"/>
      <c r="P29" s="279"/>
      <c r="Q29" s="279"/>
    </row>
    <row r="30" spans="1:19" ht="22.9" customHeight="1" thickBot="1" x14ac:dyDescent="0.3">
      <c r="A30" s="319" t="s">
        <v>180</v>
      </c>
      <c r="B30" s="319"/>
      <c r="C30" s="106">
        <v>60857.081899999997</v>
      </c>
      <c r="D30" s="104">
        <v>55.274370481380558</v>
      </c>
      <c r="E30" s="105">
        <v>0.5752674500212398</v>
      </c>
      <c r="F30" s="329"/>
      <c r="G30" s="258"/>
      <c r="H30" s="259"/>
      <c r="J30" s="319" t="s">
        <v>180</v>
      </c>
      <c r="K30" s="319"/>
      <c r="L30" s="106">
        <v>52864.751900000003</v>
      </c>
      <c r="M30" s="106">
        <v>48.058865363636372</v>
      </c>
      <c r="N30" s="105">
        <v>0.50753168953970407</v>
      </c>
      <c r="O30" s="279"/>
      <c r="P30" s="279"/>
      <c r="Q30" s="279"/>
      <c r="R30" s="52">
        <v>60857.081899999997</v>
      </c>
      <c r="S30" s="52">
        <v>52864.751900000003</v>
      </c>
    </row>
    <row r="31" spans="1:19" ht="22.9" customHeight="1" thickBot="1" x14ac:dyDescent="0.3">
      <c r="A31" s="318" t="s">
        <v>37</v>
      </c>
      <c r="B31" s="318"/>
      <c r="C31" s="318"/>
      <c r="D31" s="318"/>
      <c r="E31" s="318"/>
      <c r="F31" s="96"/>
      <c r="G31" s="96"/>
      <c r="H31" s="97"/>
      <c r="J31" s="318" t="s">
        <v>37</v>
      </c>
      <c r="K31" s="318"/>
      <c r="L31" s="318"/>
      <c r="M31" s="318"/>
      <c r="N31" s="318"/>
      <c r="O31" s="318"/>
      <c r="P31" s="318"/>
      <c r="Q31" s="318"/>
    </row>
    <row r="32" spans="1:19" ht="42" customHeight="1" x14ac:dyDescent="0.3">
      <c r="A32" s="239" t="s">
        <v>38</v>
      </c>
      <c r="B32" s="239"/>
      <c r="C32" s="5">
        <v>334.92</v>
      </c>
      <c r="D32" s="6">
        <v>0.30419618528610354</v>
      </c>
      <c r="E32" s="20">
        <v>3.165918712265986E-3</v>
      </c>
      <c r="F32" s="23"/>
      <c r="G32" s="24"/>
      <c r="H32" s="25"/>
      <c r="J32" s="239" t="s">
        <v>38</v>
      </c>
      <c r="K32" s="239"/>
      <c r="L32" s="5">
        <v>334.92</v>
      </c>
      <c r="M32" s="108">
        <v>0.30447272727272728</v>
      </c>
      <c r="N32" s="20">
        <v>3.2154225140823504E-3</v>
      </c>
      <c r="O32" s="58"/>
      <c r="P32" s="115"/>
      <c r="Q32" s="115"/>
    </row>
    <row r="33" spans="1:19" ht="40.9" customHeight="1" x14ac:dyDescent="0.3">
      <c r="A33" s="325" t="s">
        <v>183</v>
      </c>
      <c r="B33" s="325"/>
      <c r="C33" s="226">
        <v>3136.8</v>
      </c>
      <c r="D33" s="56">
        <v>2.8490463215258859</v>
      </c>
      <c r="E33" s="20">
        <v>2.9651420687435641E-2</v>
      </c>
      <c r="F33" s="27"/>
      <c r="G33" s="28"/>
      <c r="H33" s="29"/>
      <c r="J33" s="325" t="s">
        <v>184</v>
      </c>
      <c r="K33" s="325"/>
      <c r="L33" s="226">
        <v>27876.1</v>
      </c>
      <c r="M33" s="122">
        <v>25.341909090909091</v>
      </c>
      <c r="N33" s="20">
        <v>0.26762641689003641</v>
      </c>
      <c r="O33" s="58"/>
      <c r="P33" s="115"/>
      <c r="Q33" s="115"/>
    </row>
    <row r="34" spans="1:19" ht="39" customHeight="1" x14ac:dyDescent="0.3">
      <c r="A34" s="239" t="s">
        <v>39</v>
      </c>
      <c r="B34" s="239"/>
      <c r="C34" s="5">
        <v>93.24</v>
      </c>
      <c r="D34" s="6">
        <v>8.4686648501362399E-2</v>
      </c>
      <c r="E34" s="20">
        <v>8.8137543512385199E-4</v>
      </c>
      <c r="F34" s="30"/>
      <c r="G34" s="31"/>
      <c r="H34" s="32"/>
      <c r="J34" s="239" t="s">
        <v>39</v>
      </c>
      <c r="K34" s="239"/>
      <c r="L34" s="5">
        <v>93.24</v>
      </c>
      <c r="M34" s="108">
        <v>8.476363636363636E-2</v>
      </c>
      <c r="N34" s="20">
        <v>8.9515703813758006E-4</v>
      </c>
      <c r="O34" s="58"/>
      <c r="P34" s="115"/>
      <c r="Q34" s="115"/>
    </row>
    <row r="35" spans="1:19" ht="39" customHeight="1" x14ac:dyDescent="0.3">
      <c r="A35" s="239" t="s">
        <v>40</v>
      </c>
      <c r="B35" s="239"/>
      <c r="C35" s="5">
        <v>93.24</v>
      </c>
      <c r="D35" s="6">
        <v>8.4686648501362399E-2</v>
      </c>
      <c r="E35" s="20">
        <v>8.8137543512385199E-4</v>
      </c>
      <c r="F35" s="30"/>
      <c r="G35" s="31"/>
      <c r="H35" s="32"/>
      <c r="J35" s="239" t="s">
        <v>40</v>
      </c>
      <c r="K35" s="239"/>
      <c r="L35" s="5">
        <v>93.24</v>
      </c>
      <c r="M35" s="108">
        <v>8.476363636363636E-2</v>
      </c>
      <c r="N35" s="20">
        <v>8.9515703813758006E-4</v>
      </c>
      <c r="O35" s="58"/>
      <c r="P35" s="115"/>
      <c r="Q35" s="115"/>
    </row>
    <row r="36" spans="1:19" ht="39" customHeight="1" x14ac:dyDescent="0.3">
      <c r="A36" s="239" t="s">
        <v>40</v>
      </c>
      <c r="B36" s="239"/>
      <c r="C36" s="5">
        <v>93.24</v>
      </c>
      <c r="D36" s="6">
        <v>8.4686648501362399E-2</v>
      </c>
      <c r="E36" s="20">
        <v>8.8137543512385199E-4</v>
      </c>
      <c r="F36" s="30"/>
      <c r="G36" s="31"/>
      <c r="H36" s="32"/>
      <c r="J36" s="239" t="s">
        <v>40</v>
      </c>
      <c r="K36" s="239"/>
      <c r="L36" s="5">
        <v>93.24</v>
      </c>
      <c r="M36" s="108">
        <v>8.476363636363636E-2</v>
      </c>
      <c r="N36" s="20">
        <v>8.9515703813758006E-4</v>
      </c>
      <c r="O36" s="58"/>
      <c r="P36" s="115"/>
      <c r="Q36" s="115"/>
    </row>
    <row r="37" spans="1:19" ht="39" customHeight="1" x14ac:dyDescent="0.3">
      <c r="A37" s="239" t="s">
        <v>41</v>
      </c>
      <c r="B37" s="239"/>
      <c r="C37" s="5">
        <v>93.24</v>
      </c>
      <c r="D37" s="6">
        <v>8.4686648501362399E-2</v>
      </c>
      <c r="E37" s="20">
        <v>8.8137543512385199E-4</v>
      </c>
      <c r="F37" s="30"/>
      <c r="G37" s="31"/>
      <c r="H37" s="32"/>
      <c r="J37" s="239" t="s">
        <v>41</v>
      </c>
      <c r="K37" s="239"/>
      <c r="L37" s="5">
        <v>93.24</v>
      </c>
      <c r="M37" s="108">
        <v>8.476363636363636E-2</v>
      </c>
      <c r="N37" s="20">
        <v>8.9515703813758006E-4</v>
      </c>
      <c r="O37" s="58"/>
      <c r="P37" s="115"/>
      <c r="Q37" s="115"/>
    </row>
    <row r="38" spans="1:19" ht="39" customHeight="1" x14ac:dyDescent="0.3">
      <c r="A38" s="239" t="s">
        <v>42</v>
      </c>
      <c r="B38" s="239"/>
      <c r="C38" s="5">
        <v>35.64</v>
      </c>
      <c r="D38" s="6">
        <v>3.2370572207084468E-2</v>
      </c>
      <c r="E38" s="20">
        <v>3.3689640184270792E-4</v>
      </c>
      <c r="F38" s="30"/>
      <c r="G38" s="31"/>
      <c r="H38" s="32"/>
      <c r="J38" s="239" t="s">
        <v>42</v>
      </c>
      <c r="K38" s="239"/>
      <c r="L38" s="5">
        <v>35.64</v>
      </c>
      <c r="M38" s="108">
        <v>3.2399999999999998E-2</v>
      </c>
      <c r="N38" s="20">
        <v>3.4216427326494377E-4</v>
      </c>
      <c r="O38" s="58"/>
      <c r="P38" s="115"/>
      <c r="Q38" s="115"/>
    </row>
    <row r="39" spans="1:19" ht="39" customHeight="1" x14ac:dyDescent="0.3">
      <c r="A39" s="239" t="s">
        <v>45</v>
      </c>
      <c r="B39" s="239"/>
      <c r="C39" s="5">
        <v>91.68</v>
      </c>
      <c r="D39" s="6">
        <v>8.3269754768392379E-2</v>
      </c>
      <c r="E39" s="20">
        <v>8.666291279724878E-4</v>
      </c>
      <c r="F39" s="30"/>
      <c r="G39" s="31"/>
      <c r="H39" s="32"/>
      <c r="J39" s="239" t="s">
        <v>45</v>
      </c>
      <c r="K39" s="239"/>
      <c r="L39" s="5">
        <v>91.68</v>
      </c>
      <c r="M39" s="108">
        <v>8.3345454545454556E-2</v>
      </c>
      <c r="N39" s="20">
        <v>8.8018015075561301E-4</v>
      </c>
      <c r="O39" s="58"/>
      <c r="P39" s="115"/>
      <c r="Q39" s="115"/>
    </row>
    <row r="40" spans="1:19" ht="39" customHeight="1" x14ac:dyDescent="0.3">
      <c r="A40" s="239" t="s">
        <v>46</v>
      </c>
      <c r="B40" s="239"/>
      <c r="C40" s="5">
        <v>81.599999999999994</v>
      </c>
      <c r="D40" s="6">
        <v>7.4114441416893731E-2</v>
      </c>
      <c r="E40" s="20">
        <v>7.7134529714828742E-4</v>
      </c>
      <c r="F40" s="30"/>
      <c r="G40" s="31"/>
      <c r="H40" s="32"/>
      <c r="J40" s="239" t="s">
        <v>46</v>
      </c>
      <c r="K40" s="239"/>
      <c r="L40" s="5">
        <v>81.599999999999994</v>
      </c>
      <c r="M40" s="108">
        <v>7.4181818181818182E-2</v>
      </c>
      <c r="N40" s="20">
        <v>7.8340641690290147E-4</v>
      </c>
      <c r="O40" s="58"/>
      <c r="P40" s="115"/>
      <c r="Q40" s="115"/>
    </row>
    <row r="41" spans="1:19" ht="39" customHeight="1" x14ac:dyDescent="0.3">
      <c r="A41" s="239" t="s">
        <v>47</v>
      </c>
      <c r="B41" s="239"/>
      <c r="C41" s="5">
        <v>271.68</v>
      </c>
      <c r="D41" s="6">
        <v>0.24675749318801091</v>
      </c>
      <c r="E41" s="20">
        <v>2.568126106976063E-3</v>
      </c>
      <c r="F41" s="30"/>
      <c r="G41" s="31"/>
      <c r="H41" s="32"/>
      <c r="J41" s="239" t="s">
        <v>47</v>
      </c>
      <c r="K41" s="239"/>
      <c r="L41" s="5">
        <v>271.68</v>
      </c>
      <c r="M41" s="108">
        <v>0.24698181818181819</v>
      </c>
      <c r="N41" s="20">
        <v>2.6082825409826016E-3</v>
      </c>
      <c r="O41" s="58"/>
      <c r="P41" s="115"/>
      <c r="Q41" s="115"/>
    </row>
    <row r="42" spans="1:19" ht="39" customHeight="1" x14ac:dyDescent="0.3">
      <c r="A42" s="340" t="s">
        <v>48</v>
      </c>
      <c r="B42" s="340"/>
      <c r="C42" s="91">
        <v>77.040000000000006</v>
      </c>
      <c r="D42" s="86">
        <v>6.9972752043596737E-2</v>
      </c>
      <c r="E42" s="20">
        <v>7.282407070135303E-4</v>
      </c>
      <c r="F42" s="30"/>
      <c r="G42" s="31"/>
      <c r="H42" s="32"/>
      <c r="J42" s="239"/>
      <c r="K42" s="239"/>
      <c r="L42" s="123"/>
      <c r="M42" s="123"/>
      <c r="N42" s="20"/>
      <c r="O42" s="58"/>
      <c r="P42" s="115"/>
      <c r="Q42" s="115"/>
    </row>
    <row r="43" spans="1:19" ht="58.9" customHeight="1" x14ac:dyDescent="0.3">
      <c r="A43" s="342" t="s">
        <v>187</v>
      </c>
      <c r="B43" s="342"/>
      <c r="C43" s="141"/>
      <c r="D43" s="142">
        <v>0</v>
      </c>
      <c r="E43" s="20">
        <v>0</v>
      </c>
      <c r="F43" s="30"/>
      <c r="G43" s="31"/>
      <c r="H43" s="32"/>
      <c r="J43" s="343" t="s">
        <v>186</v>
      </c>
      <c r="K43" s="343"/>
      <c r="L43" s="227">
        <v>9916.68</v>
      </c>
      <c r="M43" s="122">
        <v>9.0151636363636367</v>
      </c>
      <c r="N43" s="20">
        <v>9.520576895064542E-2</v>
      </c>
      <c r="O43" s="58"/>
      <c r="P43" s="115"/>
      <c r="Q43" s="115"/>
      <c r="R43" s="52">
        <v>4402.3199999999988</v>
      </c>
      <c r="S43" s="52">
        <v>38981.26</v>
      </c>
    </row>
    <row r="44" spans="1:19" ht="23.45" customHeight="1" x14ac:dyDescent="0.3">
      <c r="A44" s="319" t="s">
        <v>50</v>
      </c>
      <c r="B44" s="319"/>
      <c r="C44" s="106">
        <v>4402.3199999999988</v>
      </c>
      <c r="D44" s="104">
        <v>3.9984741144414158</v>
      </c>
      <c r="E44" s="105">
        <v>4.1614078781150102E-2</v>
      </c>
      <c r="F44" s="30"/>
      <c r="G44" s="33"/>
      <c r="H44" s="34"/>
      <c r="J44" s="319" t="s">
        <v>50</v>
      </c>
      <c r="K44" s="319"/>
      <c r="L44" s="106">
        <v>38981.26</v>
      </c>
      <c r="M44" s="106">
        <v>35.437509090909089</v>
      </c>
      <c r="N44" s="105">
        <v>0.3742422698892206</v>
      </c>
      <c r="O44" s="58"/>
      <c r="P44" s="117"/>
      <c r="Q44" s="117"/>
    </row>
    <row r="45" spans="1:19" ht="24" thickBot="1" x14ac:dyDescent="0.4">
      <c r="A45" s="320" t="s">
        <v>51</v>
      </c>
      <c r="B45" s="320"/>
      <c r="C45" s="321">
        <v>105789.197525</v>
      </c>
      <c r="D45" s="322">
        <v>96.171997750000003</v>
      </c>
      <c r="E45" s="323">
        <v>1</v>
      </c>
      <c r="F45" s="99"/>
      <c r="G45" s="36"/>
      <c r="H45" s="37"/>
      <c r="J45" s="320" t="s">
        <v>51</v>
      </c>
      <c r="K45" s="320"/>
      <c r="L45" s="321">
        <v>104160.49478200001</v>
      </c>
      <c r="M45" s="322">
        <v>94.69135889272728</v>
      </c>
      <c r="N45" s="323">
        <v>0.99999999999999989</v>
      </c>
      <c r="O45" s="118"/>
      <c r="P45" s="119"/>
      <c r="Q45" s="119"/>
      <c r="R45" s="125">
        <v>105789.19752499998</v>
      </c>
      <c r="S45" s="125">
        <v>104160.49478200001</v>
      </c>
    </row>
    <row r="46" spans="1:19" ht="68.45" customHeight="1" thickBot="1" x14ac:dyDescent="0.3">
      <c r="A46" s="324" t="s">
        <v>60</v>
      </c>
      <c r="B46" s="324"/>
      <c r="C46" s="321"/>
      <c r="D46" s="322"/>
      <c r="E46" s="323"/>
      <c r="F46" s="100">
        <v>1100</v>
      </c>
      <c r="G46" s="71">
        <v>1101</v>
      </c>
      <c r="H46" s="39"/>
      <c r="J46" s="324" t="s">
        <v>60</v>
      </c>
      <c r="K46" s="324"/>
      <c r="L46" s="321"/>
      <c r="M46" s="322"/>
      <c r="N46" s="323"/>
      <c r="O46" s="120">
        <v>1100</v>
      </c>
      <c r="P46" s="121">
        <v>1100</v>
      </c>
      <c r="Q46" s="120"/>
    </row>
    <row r="48" spans="1:19" ht="15.6" hidden="1" customHeight="1" x14ac:dyDescent="0.25">
      <c r="B48">
        <v>1100</v>
      </c>
      <c r="D48" s="52">
        <v>96.171997750000003</v>
      </c>
      <c r="K48">
        <v>1100</v>
      </c>
      <c r="M48" s="125">
        <v>94.69135889272728</v>
      </c>
    </row>
    <row r="49" spans="2:13" s="51" customFormat="1" ht="21" x14ac:dyDescent="0.35">
      <c r="D49" s="231"/>
      <c r="J49" s="232" t="s">
        <v>195</v>
      </c>
      <c r="M49" s="229"/>
    </row>
    <row r="50" spans="2:13" s="51" customFormat="1" ht="12" customHeight="1" x14ac:dyDescent="0.35">
      <c r="D50" s="231"/>
      <c r="M50" s="229"/>
    </row>
    <row r="51" spans="2:13" s="51" customFormat="1" ht="21" x14ac:dyDescent="0.35">
      <c r="J51" s="51" t="s">
        <v>198</v>
      </c>
    </row>
    <row r="52" spans="2:13" s="51" customFormat="1" ht="17.45" customHeight="1" x14ac:dyDescent="0.35"/>
    <row r="53" spans="2:13" s="51" customFormat="1" ht="20.45" customHeight="1" x14ac:dyDescent="0.35">
      <c r="J53" s="232"/>
    </row>
    <row r="54" spans="2:13" s="51" customFormat="1" ht="21" x14ac:dyDescent="0.35">
      <c r="B54" s="51" t="s">
        <v>196</v>
      </c>
      <c r="C54" s="51" t="s">
        <v>194</v>
      </c>
      <c r="D54" s="232">
        <v>97.63</v>
      </c>
      <c r="K54" s="51" t="s">
        <v>196</v>
      </c>
      <c r="L54" s="51" t="s">
        <v>194</v>
      </c>
      <c r="M54" s="232">
        <v>95.01</v>
      </c>
    </row>
    <row r="55" spans="2:13" s="51" customFormat="1" ht="16.149999999999999" customHeight="1" x14ac:dyDescent="0.35">
      <c r="D55" s="232"/>
      <c r="M55" s="232"/>
    </row>
    <row r="56" spans="2:13" s="51" customFormat="1" ht="21" x14ac:dyDescent="0.35">
      <c r="B56" s="51" t="s">
        <v>197</v>
      </c>
      <c r="C56" s="51" t="s">
        <v>194</v>
      </c>
      <c r="D56" s="232">
        <v>98.57</v>
      </c>
      <c r="K56" s="51" t="s">
        <v>197</v>
      </c>
      <c r="L56" s="51" t="s">
        <v>194</v>
      </c>
      <c r="M56" s="232">
        <v>95.19</v>
      </c>
    </row>
    <row r="58" spans="2:13" s="51" customFormat="1" ht="21" x14ac:dyDescent="0.35">
      <c r="B58" s="51" t="s">
        <v>199</v>
      </c>
      <c r="C58" s="51" t="s">
        <v>194</v>
      </c>
      <c r="D58" s="232">
        <v>102.03</v>
      </c>
      <c r="K58" s="51" t="s">
        <v>199</v>
      </c>
      <c r="L58" s="51" t="s">
        <v>194</v>
      </c>
      <c r="M58" s="232">
        <v>95.88</v>
      </c>
    </row>
  </sheetData>
  <mergeCells count="101">
    <mergeCell ref="L45:L46"/>
    <mergeCell ref="M45:M46"/>
    <mergeCell ref="N45:N46"/>
    <mergeCell ref="A46:B46"/>
    <mergeCell ref="J46:K46"/>
    <mergeCell ref="A43:B43"/>
    <mergeCell ref="J43:K43"/>
    <mergeCell ref="A44:B44"/>
    <mergeCell ref="J44:K44"/>
    <mergeCell ref="A45:B45"/>
    <mergeCell ref="C45:C46"/>
    <mergeCell ref="D45:D46"/>
    <mergeCell ref="E45:E46"/>
    <mergeCell ref="J45:K45"/>
    <mergeCell ref="A40:B40"/>
    <mergeCell ref="J40:K40"/>
    <mergeCell ref="A41:B41"/>
    <mergeCell ref="J41:K41"/>
    <mergeCell ref="A42:B42"/>
    <mergeCell ref="J42:K42"/>
    <mergeCell ref="A37:B37"/>
    <mergeCell ref="J37:K37"/>
    <mergeCell ref="A38:B38"/>
    <mergeCell ref="J38:K38"/>
    <mergeCell ref="A39:B39"/>
    <mergeCell ref="J39:K39"/>
    <mergeCell ref="A34:B34"/>
    <mergeCell ref="J34:K34"/>
    <mergeCell ref="A35:B35"/>
    <mergeCell ref="J35:K35"/>
    <mergeCell ref="A36:B36"/>
    <mergeCell ref="J36:K36"/>
    <mergeCell ref="A31:E31"/>
    <mergeCell ref="J31:Q31"/>
    <mergeCell ref="A32:B32"/>
    <mergeCell ref="J32:K32"/>
    <mergeCell ref="A33:B33"/>
    <mergeCell ref="J33:K33"/>
    <mergeCell ref="F28:H28"/>
    <mergeCell ref="O28:Q28"/>
    <mergeCell ref="F29:H29"/>
    <mergeCell ref="O29:Q29"/>
    <mergeCell ref="A30:B30"/>
    <mergeCell ref="F30:H30"/>
    <mergeCell ref="J30:K30"/>
    <mergeCell ref="O30:Q30"/>
    <mergeCell ref="F24:H24"/>
    <mergeCell ref="O24:Q24"/>
    <mergeCell ref="F25:H25"/>
    <mergeCell ref="O25:Q25"/>
    <mergeCell ref="G26:H26"/>
    <mergeCell ref="P26:Q26"/>
    <mergeCell ref="A22:A23"/>
    <mergeCell ref="G22:H22"/>
    <mergeCell ref="J22:J23"/>
    <mergeCell ref="P22:Q22"/>
    <mergeCell ref="G23:H23"/>
    <mergeCell ref="P23:Q23"/>
    <mergeCell ref="A19:A20"/>
    <mergeCell ref="F19:G19"/>
    <mergeCell ref="J19:J20"/>
    <mergeCell ref="O19:P19"/>
    <mergeCell ref="G21:H21"/>
    <mergeCell ref="P21:Q21"/>
    <mergeCell ref="F17:H17"/>
    <mergeCell ref="O17:Q17"/>
    <mergeCell ref="A18:B18"/>
    <mergeCell ref="F18:H18"/>
    <mergeCell ref="J18:K18"/>
    <mergeCell ref="O18:Q18"/>
    <mergeCell ref="F13:H13"/>
    <mergeCell ref="F14:H14"/>
    <mergeCell ref="O14:Q14"/>
    <mergeCell ref="F15:H15"/>
    <mergeCell ref="O15:Q15"/>
    <mergeCell ref="F16:H16"/>
    <mergeCell ref="O16:Q16"/>
    <mergeCell ref="F10:H10"/>
    <mergeCell ref="O10:Q10"/>
    <mergeCell ref="F11:H11"/>
    <mergeCell ref="O11:Q11"/>
    <mergeCell ref="F12:H12"/>
    <mergeCell ref="O12:Q12"/>
    <mergeCell ref="F7:H7"/>
    <mergeCell ref="O7:Q7"/>
    <mergeCell ref="A8:E8"/>
    <mergeCell ref="J8:Q8"/>
    <mergeCell ref="F9:H9"/>
    <mergeCell ref="O9:Q9"/>
    <mergeCell ref="A4:H4"/>
    <mergeCell ref="J4:Q4"/>
    <mergeCell ref="B5:D5"/>
    <mergeCell ref="K5:M5"/>
    <mergeCell ref="A6:H6"/>
    <mergeCell ref="J6:Q6"/>
    <mergeCell ref="A1:H1"/>
    <mergeCell ref="J1:Q1"/>
    <mergeCell ref="A2:H2"/>
    <mergeCell ref="J2:Q2"/>
    <mergeCell ref="A3:H3"/>
    <mergeCell ref="J3:Q3"/>
  </mergeCells>
  <pageMargins left="0.7" right="0.7" top="0.75" bottom="0.75" header="0.3" footer="0.3"/>
  <pageSetup paperSize="8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5E35-FD7A-465B-B557-DCF8016D99D7}">
  <sheetPr>
    <pageSetUpPr fitToPage="1"/>
  </sheetPr>
  <dimension ref="A1:S49"/>
  <sheetViews>
    <sheetView zoomScale="58" zoomScaleNormal="58" workbookViewId="0">
      <selection sqref="A1:XFD1048576"/>
    </sheetView>
  </sheetViews>
  <sheetFormatPr defaultRowHeight="15" x14ac:dyDescent="0.25"/>
  <cols>
    <col min="1" max="1" width="19.28515625" customWidth="1"/>
    <col min="2" max="2" width="73.28515625" customWidth="1"/>
    <col min="3" max="3" width="27.140625" customWidth="1"/>
    <col min="4" max="4" width="26.28515625" customWidth="1"/>
    <col min="5" max="5" width="18.28515625" customWidth="1"/>
    <col min="6" max="6" width="65.42578125" hidden="1" customWidth="1"/>
    <col min="7" max="7" width="49.7109375" hidden="1" customWidth="1"/>
    <col min="8" max="8" width="14.85546875" hidden="1" customWidth="1"/>
    <col min="9" max="9" width="10.42578125" customWidth="1"/>
    <col min="10" max="10" width="22.42578125" customWidth="1"/>
    <col min="11" max="11" width="73.28515625" customWidth="1"/>
    <col min="12" max="12" width="36.28515625" customWidth="1"/>
    <col min="13" max="13" width="26.28515625" customWidth="1"/>
    <col min="14" max="14" width="18.7109375" customWidth="1"/>
    <col min="15" max="15" width="72.42578125" hidden="1" customWidth="1"/>
    <col min="16" max="16" width="49.7109375" hidden="1" customWidth="1"/>
    <col min="17" max="17" width="9.85546875" hidden="1" customWidth="1"/>
    <col min="18" max="19" width="12.28515625" hidden="1" customWidth="1"/>
  </cols>
  <sheetData>
    <row r="1" spans="1:17" ht="33" x14ac:dyDescent="0.45">
      <c r="A1" s="290" t="s">
        <v>160</v>
      </c>
      <c r="B1" s="290"/>
      <c r="C1" s="290"/>
      <c r="D1" s="290"/>
      <c r="E1" s="290"/>
      <c r="F1" s="290"/>
      <c r="G1" s="290"/>
      <c r="H1" s="290"/>
      <c r="J1" s="290" t="s">
        <v>160</v>
      </c>
      <c r="K1" s="290"/>
      <c r="L1" s="290"/>
      <c r="M1" s="290"/>
      <c r="N1" s="290"/>
      <c r="O1" s="290"/>
      <c r="P1" s="290"/>
      <c r="Q1" s="290"/>
    </row>
    <row r="2" spans="1:17" ht="20.25" x14ac:dyDescent="0.3">
      <c r="A2" s="291" t="s">
        <v>1</v>
      </c>
      <c r="B2" s="291"/>
      <c r="C2" s="291"/>
      <c r="D2" s="291"/>
      <c r="E2" s="291"/>
      <c r="F2" s="291"/>
      <c r="G2" s="291"/>
      <c r="H2" s="291"/>
      <c r="J2" s="291" t="s">
        <v>1</v>
      </c>
      <c r="K2" s="291"/>
      <c r="L2" s="291"/>
      <c r="M2" s="291"/>
      <c r="N2" s="291"/>
      <c r="O2" s="291"/>
      <c r="P2" s="291"/>
      <c r="Q2" s="291"/>
    </row>
    <row r="3" spans="1:17" ht="20.25" x14ac:dyDescent="0.3">
      <c r="A3" s="291" t="s">
        <v>2</v>
      </c>
      <c r="B3" s="291"/>
      <c r="C3" s="291"/>
      <c r="D3" s="291"/>
      <c r="E3" s="291"/>
      <c r="F3" s="291"/>
      <c r="G3" s="291"/>
      <c r="H3" s="291"/>
      <c r="J3" s="291" t="s">
        <v>2</v>
      </c>
      <c r="K3" s="291"/>
      <c r="L3" s="291"/>
      <c r="M3" s="291"/>
      <c r="N3" s="291"/>
      <c r="O3" s="291"/>
      <c r="P3" s="291"/>
      <c r="Q3" s="291"/>
    </row>
    <row r="4" spans="1:17" ht="20.25" x14ac:dyDescent="0.3">
      <c r="A4" s="291" t="s">
        <v>3</v>
      </c>
      <c r="B4" s="291"/>
      <c r="C4" s="291"/>
      <c r="D4" s="291"/>
      <c r="E4" s="291"/>
      <c r="F4" s="291"/>
      <c r="G4" s="291"/>
      <c r="H4" s="291"/>
      <c r="J4" s="291" t="s">
        <v>3</v>
      </c>
      <c r="K4" s="291"/>
      <c r="L4" s="291"/>
      <c r="M4" s="291"/>
      <c r="N4" s="291"/>
      <c r="O4" s="291"/>
      <c r="P4" s="291"/>
      <c r="Q4" s="291"/>
    </row>
    <row r="5" spans="1:17" s="164" customFormat="1" ht="28.5" x14ac:dyDescent="0.45">
      <c r="A5" s="163"/>
      <c r="B5" s="339" t="s">
        <v>139</v>
      </c>
      <c r="C5" s="339"/>
      <c r="D5" s="339"/>
      <c r="E5" s="163"/>
      <c r="F5" s="163"/>
      <c r="G5" s="163"/>
      <c r="H5" s="163"/>
      <c r="J5" s="163"/>
      <c r="K5" s="339" t="s">
        <v>140</v>
      </c>
      <c r="L5" s="339"/>
      <c r="M5" s="339"/>
      <c r="N5" s="163"/>
      <c r="O5" s="163"/>
      <c r="P5" s="163"/>
      <c r="Q5" s="163"/>
    </row>
    <row r="6" spans="1:17" ht="16.5" thickBot="1" x14ac:dyDescent="0.3">
      <c r="A6" s="326"/>
      <c r="B6" s="326"/>
      <c r="C6" s="326"/>
      <c r="D6" s="326"/>
      <c r="E6" s="326"/>
      <c r="F6" s="292"/>
      <c r="G6" s="292"/>
      <c r="H6" s="292"/>
      <c r="J6" s="326"/>
      <c r="K6" s="326"/>
      <c r="L6" s="326"/>
      <c r="M6" s="326"/>
      <c r="N6" s="326"/>
      <c r="O6" s="326"/>
      <c r="P6" s="326"/>
      <c r="Q6" s="326"/>
    </row>
    <row r="7" spans="1:17" s="51" customFormat="1" ht="122.25" thickBot="1" x14ac:dyDescent="0.4">
      <c r="A7" s="101" t="s">
        <v>4</v>
      </c>
      <c r="B7" s="101" t="s">
        <v>5</v>
      </c>
      <c r="C7" s="101" t="s">
        <v>6</v>
      </c>
      <c r="D7" s="101" t="s">
        <v>7</v>
      </c>
      <c r="E7" s="101" t="s">
        <v>8</v>
      </c>
      <c r="F7" s="294" t="s">
        <v>9</v>
      </c>
      <c r="G7" s="294"/>
      <c r="H7" s="295"/>
      <c r="J7" s="101" t="s">
        <v>4</v>
      </c>
      <c r="K7" s="101" t="s">
        <v>5</v>
      </c>
      <c r="L7" s="101" t="s">
        <v>6</v>
      </c>
      <c r="M7" s="101" t="s">
        <v>7</v>
      </c>
      <c r="N7" s="101" t="s">
        <v>8</v>
      </c>
      <c r="O7" s="327" t="s">
        <v>9</v>
      </c>
      <c r="P7" s="327"/>
      <c r="Q7" s="327"/>
    </row>
    <row r="8" spans="1:17" s="93" customFormat="1" ht="22.9" customHeight="1" thickBot="1" x14ac:dyDescent="0.3">
      <c r="A8" s="328" t="s">
        <v>10</v>
      </c>
      <c r="B8" s="328"/>
      <c r="C8" s="328"/>
      <c r="D8" s="328"/>
      <c r="E8" s="328"/>
      <c r="F8" s="98"/>
      <c r="G8" s="94"/>
      <c r="H8" s="95"/>
      <c r="J8" s="328" t="s">
        <v>10</v>
      </c>
      <c r="K8" s="328"/>
      <c r="L8" s="328"/>
      <c r="M8" s="328"/>
      <c r="N8" s="328"/>
      <c r="O8" s="328"/>
      <c r="P8" s="328"/>
      <c r="Q8" s="328"/>
    </row>
    <row r="9" spans="1:17" ht="20.25" x14ac:dyDescent="0.25">
      <c r="A9" s="58">
        <v>1100</v>
      </c>
      <c r="B9" s="17" t="s">
        <v>11</v>
      </c>
      <c r="C9" s="5">
        <v>749.62</v>
      </c>
      <c r="D9" s="6">
        <v>0.68085376930063579</v>
      </c>
      <c r="E9" s="20">
        <v>6.9804983931631434E-3</v>
      </c>
      <c r="F9" s="299">
        <v>1013</v>
      </c>
      <c r="G9" s="300"/>
      <c r="H9" s="301"/>
      <c r="J9" s="58">
        <v>1100</v>
      </c>
      <c r="K9" s="17" t="s">
        <v>11</v>
      </c>
      <c r="L9" s="5">
        <v>749.62</v>
      </c>
      <c r="M9" s="108">
        <v>0.68147272727272723</v>
      </c>
      <c r="N9" s="20">
        <v>7.172273437302098E-3</v>
      </c>
      <c r="O9" s="282">
        <v>1013</v>
      </c>
      <c r="P9" s="282"/>
      <c r="Q9" s="282"/>
    </row>
    <row r="10" spans="1:17" ht="20.25" x14ac:dyDescent="0.25">
      <c r="A10" s="58">
        <v>1100</v>
      </c>
      <c r="B10" s="17" t="s">
        <v>12</v>
      </c>
      <c r="C10" s="5">
        <v>749.62</v>
      </c>
      <c r="D10" s="6">
        <v>0.68085376930063579</v>
      </c>
      <c r="E10" s="20">
        <v>6.9804983931631434E-3</v>
      </c>
      <c r="F10" s="281">
        <v>1013</v>
      </c>
      <c r="G10" s="282"/>
      <c r="H10" s="283"/>
      <c r="J10" s="58">
        <v>1100</v>
      </c>
      <c r="K10" s="17" t="s">
        <v>12</v>
      </c>
      <c r="L10" s="5">
        <v>749.62</v>
      </c>
      <c r="M10" s="108">
        <v>0.68147272727272723</v>
      </c>
      <c r="N10" s="20">
        <v>7.172273437302098E-3</v>
      </c>
      <c r="O10" s="282">
        <v>1013</v>
      </c>
      <c r="P10" s="282"/>
      <c r="Q10" s="282"/>
    </row>
    <row r="11" spans="1:17" ht="37.5" x14ac:dyDescent="0.25">
      <c r="A11" s="102">
        <v>1100</v>
      </c>
      <c r="B11" s="84" t="s">
        <v>102</v>
      </c>
      <c r="C11" s="85">
        <v>30053.13</v>
      </c>
      <c r="D11" s="86">
        <v>27.296212534059947</v>
      </c>
      <c r="E11" s="20">
        <v>0.27985622805491195</v>
      </c>
      <c r="F11" s="302">
        <v>700</v>
      </c>
      <c r="G11" s="303"/>
      <c r="H11" s="304"/>
      <c r="J11" s="102">
        <v>1100</v>
      </c>
      <c r="K11" s="84" t="s">
        <v>103</v>
      </c>
      <c r="L11" s="91">
        <v>7007.95</v>
      </c>
      <c r="M11" s="124">
        <v>6.3708636363636364</v>
      </c>
      <c r="N11" s="20">
        <v>6.7051217463436452E-2</v>
      </c>
      <c r="O11" s="309">
        <v>700</v>
      </c>
      <c r="P11" s="309"/>
      <c r="Q11" s="309"/>
    </row>
    <row r="12" spans="1:17" ht="37.5" x14ac:dyDescent="0.25">
      <c r="A12" s="58">
        <v>1100</v>
      </c>
      <c r="B12" s="17" t="s">
        <v>14</v>
      </c>
      <c r="C12" s="7">
        <v>1613.2</v>
      </c>
      <c r="D12" s="6">
        <v>1.465213442325159</v>
      </c>
      <c r="E12" s="20">
        <v>1.5022197924082581E-2</v>
      </c>
      <c r="F12" s="281">
        <v>1090</v>
      </c>
      <c r="G12" s="282"/>
      <c r="H12" s="283"/>
      <c r="J12" s="58">
        <v>1100</v>
      </c>
      <c r="K12" s="17" t="s">
        <v>14</v>
      </c>
      <c r="L12" s="7">
        <v>1613.2</v>
      </c>
      <c r="M12" s="108">
        <v>1.4665454545454546</v>
      </c>
      <c r="N12" s="20">
        <v>1.5434902362604712E-2</v>
      </c>
      <c r="O12" s="282">
        <v>1090</v>
      </c>
      <c r="P12" s="282"/>
      <c r="Q12" s="282"/>
    </row>
    <row r="13" spans="1:17" ht="37.5" x14ac:dyDescent="0.25">
      <c r="A13" s="102">
        <v>1100</v>
      </c>
      <c r="B13" s="84" t="s">
        <v>68</v>
      </c>
      <c r="C13" s="89">
        <v>790.07</v>
      </c>
      <c r="D13" s="86">
        <v>0.71759309718437791</v>
      </c>
      <c r="E13" s="20">
        <v>7.3571707871807118E-3</v>
      </c>
      <c r="F13" s="281">
        <v>780</v>
      </c>
      <c r="G13" s="282"/>
      <c r="H13" s="283"/>
      <c r="J13" s="58"/>
      <c r="K13" s="17"/>
      <c r="L13" s="7"/>
      <c r="M13" s="108"/>
      <c r="N13" s="20">
        <v>0</v>
      </c>
      <c r="O13" s="59"/>
      <c r="P13" s="59"/>
      <c r="Q13" s="59"/>
    </row>
    <row r="14" spans="1:17" ht="20.25" x14ac:dyDescent="0.25">
      <c r="A14" s="58">
        <v>1100</v>
      </c>
      <c r="B14" s="17" t="s">
        <v>16</v>
      </c>
      <c r="C14" s="7">
        <v>76.52</v>
      </c>
      <c r="D14" s="6">
        <v>6.950045413260672E-2</v>
      </c>
      <c r="E14" s="20">
        <v>7.1255801211926541E-4</v>
      </c>
      <c r="F14" s="281">
        <v>1726</v>
      </c>
      <c r="G14" s="282"/>
      <c r="H14" s="283"/>
      <c r="J14" s="58">
        <v>1100</v>
      </c>
      <c r="K14" s="17" t="s">
        <v>16</v>
      </c>
      <c r="L14" s="7">
        <v>76.52</v>
      </c>
      <c r="M14" s="108">
        <v>6.9563636363636355E-2</v>
      </c>
      <c r="N14" s="20">
        <v>7.3213409917338983E-4</v>
      </c>
      <c r="O14" s="282">
        <v>1726</v>
      </c>
      <c r="P14" s="282"/>
      <c r="Q14" s="282"/>
    </row>
    <row r="15" spans="1:17" ht="37.5" x14ac:dyDescent="0.25">
      <c r="A15" s="58">
        <v>1100</v>
      </c>
      <c r="B15" s="17" t="s">
        <v>17</v>
      </c>
      <c r="C15" s="7">
        <v>26.07</v>
      </c>
      <c r="D15" s="6">
        <v>2.3678474114441416E-2</v>
      </c>
      <c r="E15" s="20">
        <v>2.4276512514309005E-4</v>
      </c>
      <c r="F15" s="281">
        <v>1554</v>
      </c>
      <c r="G15" s="282"/>
      <c r="H15" s="283"/>
      <c r="J15" s="58">
        <v>1100</v>
      </c>
      <c r="K15" s="17" t="s">
        <v>17</v>
      </c>
      <c r="L15" s="7">
        <v>26.07</v>
      </c>
      <c r="M15" s="108">
        <v>2.3699999999999999E-2</v>
      </c>
      <c r="N15" s="20">
        <v>2.4943460488042703E-4</v>
      </c>
      <c r="O15" s="282">
        <v>1554</v>
      </c>
      <c r="P15" s="282"/>
      <c r="Q15" s="282"/>
    </row>
    <row r="16" spans="1:17" ht="20.25" x14ac:dyDescent="0.25">
      <c r="A16" s="58">
        <v>1100</v>
      </c>
      <c r="B16" s="17" t="s">
        <v>18</v>
      </c>
      <c r="C16" s="7">
        <v>28.95</v>
      </c>
      <c r="D16" s="6">
        <v>2.6294277929155313E-2</v>
      </c>
      <c r="E16" s="20">
        <v>2.6958382711516905E-4</v>
      </c>
      <c r="F16" s="281">
        <v>1726</v>
      </c>
      <c r="G16" s="282"/>
      <c r="H16" s="283"/>
      <c r="J16" s="58">
        <v>1100</v>
      </c>
      <c r="K16" s="17" t="s">
        <v>18</v>
      </c>
      <c r="L16" s="7">
        <v>28.95</v>
      </c>
      <c r="M16" s="108">
        <v>2.6318181818181817E-2</v>
      </c>
      <c r="N16" s="20">
        <v>2.769900963286675E-4</v>
      </c>
      <c r="O16" s="282">
        <v>1726</v>
      </c>
      <c r="P16" s="282"/>
      <c r="Q16" s="282"/>
    </row>
    <row r="17" spans="1:19" ht="21.6" customHeight="1" x14ac:dyDescent="0.25">
      <c r="A17" s="102">
        <v>1200</v>
      </c>
      <c r="B17" s="84" t="s">
        <v>19</v>
      </c>
      <c r="C17" s="91">
        <v>8041.1657619999987</v>
      </c>
      <c r="D17" s="86">
        <v>7.3035111371480461</v>
      </c>
      <c r="E17" s="20">
        <v>7.4879731971931748E-2</v>
      </c>
      <c r="F17" s="284"/>
      <c r="G17" s="285"/>
      <c r="H17" s="286"/>
      <c r="J17" s="102">
        <v>1200</v>
      </c>
      <c r="K17" s="84" t="s">
        <v>19</v>
      </c>
      <c r="L17" s="91">
        <v>2418.4302870000006</v>
      </c>
      <c r="M17" s="124">
        <v>2.1985729881818186</v>
      </c>
      <c r="N17" s="20">
        <v>2.3139248295692475E-2</v>
      </c>
      <c r="O17" s="285"/>
      <c r="P17" s="285"/>
      <c r="Q17" s="285"/>
      <c r="S17" s="52"/>
    </row>
    <row r="18" spans="1:19" ht="20.25" x14ac:dyDescent="0.25">
      <c r="A18" s="319" t="s">
        <v>20</v>
      </c>
      <c r="B18" s="319"/>
      <c r="C18" s="103">
        <v>42128.34576199999</v>
      </c>
      <c r="D18" s="104">
        <v>38.263710955495</v>
      </c>
      <c r="E18" s="105">
        <v>0.39230123248881088</v>
      </c>
      <c r="F18" s="311"/>
      <c r="G18" s="288"/>
      <c r="H18" s="289"/>
      <c r="J18" s="319" t="s">
        <v>20</v>
      </c>
      <c r="K18" s="319"/>
      <c r="L18" s="103">
        <v>12670.360287000003</v>
      </c>
      <c r="M18" s="103">
        <v>11.518509351818182</v>
      </c>
      <c r="N18" s="105">
        <v>0.12122847379672032</v>
      </c>
      <c r="O18" s="288"/>
      <c r="P18" s="288"/>
      <c r="Q18" s="288"/>
      <c r="R18" s="52">
        <v>42128.34576199999</v>
      </c>
      <c r="S18" s="52">
        <v>12670.360287000003</v>
      </c>
    </row>
    <row r="19" spans="1:19" ht="20.25" x14ac:dyDescent="0.25">
      <c r="A19" s="279">
        <v>2210</v>
      </c>
      <c r="B19" s="17" t="s">
        <v>21</v>
      </c>
      <c r="C19" s="5">
        <v>60</v>
      </c>
      <c r="D19" s="6">
        <v>5.4495912806539509E-2</v>
      </c>
      <c r="E19" s="20">
        <v>5.5872295775164567E-4</v>
      </c>
      <c r="F19" s="262">
        <v>5</v>
      </c>
      <c r="G19" s="263"/>
      <c r="H19" s="14">
        <v>12</v>
      </c>
      <c r="J19" s="279">
        <v>2210</v>
      </c>
      <c r="K19" s="17" t="s">
        <v>21</v>
      </c>
      <c r="L19" s="5">
        <v>60</v>
      </c>
      <c r="M19" s="108">
        <v>5.4545454545454543E-2</v>
      </c>
      <c r="N19" s="20">
        <v>5.7407273850501042E-4</v>
      </c>
      <c r="O19" s="263">
        <v>5</v>
      </c>
      <c r="P19" s="263"/>
      <c r="Q19" s="109">
        <v>12</v>
      </c>
    </row>
    <row r="20" spans="1:19" ht="20.25" x14ac:dyDescent="0.25">
      <c r="A20" s="279"/>
      <c r="B20" s="15" t="s">
        <v>22</v>
      </c>
      <c r="C20" s="5">
        <v>540</v>
      </c>
      <c r="D20" s="6">
        <v>0.49046321525885561</v>
      </c>
      <c r="E20" s="20">
        <v>5.0285066197648109E-3</v>
      </c>
      <c r="F20" s="60">
        <v>16</v>
      </c>
      <c r="G20" s="16">
        <v>3</v>
      </c>
      <c r="H20" s="14">
        <v>12</v>
      </c>
      <c r="J20" s="279"/>
      <c r="K20" s="15" t="s">
        <v>22</v>
      </c>
      <c r="L20" s="5">
        <v>540</v>
      </c>
      <c r="M20" s="108">
        <v>0.49090909090909091</v>
      </c>
      <c r="N20" s="20">
        <v>5.1666546465450932E-3</v>
      </c>
      <c r="O20" s="110">
        <v>16</v>
      </c>
      <c r="P20" s="16">
        <v>3</v>
      </c>
      <c r="Q20" s="109">
        <v>12</v>
      </c>
    </row>
    <row r="21" spans="1:19" ht="20.25" x14ac:dyDescent="0.25">
      <c r="A21" s="58">
        <v>2222</v>
      </c>
      <c r="B21" s="17" t="s">
        <v>23</v>
      </c>
      <c r="C21" s="5">
        <v>67.98</v>
      </c>
      <c r="D21" s="6">
        <v>6.1743869209809267E-2</v>
      </c>
      <c r="E21" s="20">
        <v>6.3303311113261458E-4</v>
      </c>
      <c r="F21" s="61">
        <v>8</v>
      </c>
      <c r="G21" s="264">
        <v>1.45</v>
      </c>
      <c r="H21" s="265"/>
      <c r="J21" s="58">
        <v>2222</v>
      </c>
      <c r="K21" s="17" t="s">
        <v>23</v>
      </c>
      <c r="L21" s="5">
        <v>67.98</v>
      </c>
      <c r="M21" s="108">
        <v>6.1800000000000001E-2</v>
      </c>
      <c r="N21" s="20">
        <v>6.5042441272617684E-4</v>
      </c>
      <c r="O21" s="111">
        <v>8</v>
      </c>
      <c r="P21" s="264">
        <v>1.45</v>
      </c>
      <c r="Q21" s="264"/>
    </row>
    <row r="22" spans="1:19" ht="38.450000000000003" customHeight="1" x14ac:dyDescent="0.25">
      <c r="A22" s="279">
        <v>2223</v>
      </c>
      <c r="B22" s="225" t="s">
        <v>182</v>
      </c>
      <c r="C22" s="5">
        <v>4179.3819000000003</v>
      </c>
      <c r="D22" s="6">
        <v>3.795987193460491</v>
      </c>
      <c r="E22" s="20">
        <v>3.891861027902821E-2</v>
      </c>
      <c r="F22" s="87">
        <v>24762</v>
      </c>
      <c r="G22" s="266">
        <v>0.12587000000000001</v>
      </c>
      <c r="H22" s="267"/>
      <c r="J22" s="279">
        <v>2223</v>
      </c>
      <c r="K22" s="225" t="s">
        <v>182</v>
      </c>
      <c r="L22" s="5">
        <v>4179.3819000000003</v>
      </c>
      <c r="M22" s="108">
        <v>3.7994380909090912</v>
      </c>
      <c r="N22" s="20">
        <v>3.9987820209854558E-2</v>
      </c>
      <c r="O22" s="112">
        <v>24762</v>
      </c>
      <c r="P22" s="266">
        <v>0.12587000000000001</v>
      </c>
      <c r="Q22" s="266"/>
    </row>
    <row r="23" spans="1:19" ht="24.6" customHeight="1" x14ac:dyDescent="0.25">
      <c r="A23" s="279"/>
      <c r="B23" s="15" t="s">
        <v>177</v>
      </c>
      <c r="C23" s="5">
        <v>787.19999999999993</v>
      </c>
      <c r="D23" s="6">
        <v>0.71498637602179826</v>
      </c>
      <c r="E23" s="20">
        <v>7.3304452057015908E-3</v>
      </c>
      <c r="F23" s="63">
        <v>12</v>
      </c>
      <c r="G23" s="268">
        <v>65.599999999999994</v>
      </c>
      <c r="H23" s="269"/>
      <c r="J23" s="279"/>
      <c r="K23" s="15" t="s">
        <v>177</v>
      </c>
      <c r="L23" s="5">
        <v>787.19999999999993</v>
      </c>
      <c r="M23" s="108">
        <v>0.71563636363636363</v>
      </c>
      <c r="N23" s="20">
        <v>7.5318343291857354E-3</v>
      </c>
      <c r="O23" s="109">
        <v>12</v>
      </c>
      <c r="P23" s="268">
        <v>65.599999999999994</v>
      </c>
      <c r="Q23" s="268"/>
    </row>
    <row r="24" spans="1:19" ht="37.5" x14ac:dyDescent="0.25">
      <c r="A24" s="102">
        <v>2243</v>
      </c>
      <c r="B24" s="84" t="s">
        <v>142</v>
      </c>
      <c r="C24" s="91">
        <v>2163.33</v>
      </c>
      <c r="D24" s="86">
        <v>1.9648773841961853</v>
      </c>
      <c r="E24" s="20">
        <v>2.014503560321446E-2</v>
      </c>
      <c r="F24" s="270" t="s">
        <v>27</v>
      </c>
      <c r="G24" s="271"/>
      <c r="H24" s="272"/>
      <c r="J24" s="102">
        <v>2243</v>
      </c>
      <c r="K24" s="84" t="s">
        <v>178</v>
      </c>
      <c r="L24" s="91">
        <v>2201</v>
      </c>
      <c r="M24" s="124">
        <v>2.000909090909091</v>
      </c>
      <c r="N24" s="20">
        <v>2.1058901624158799E-2</v>
      </c>
      <c r="O24" s="271" t="s">
        <v>27</v>
      </c>
      <c r="P24" s="271"/>
      <c r="Q24" s="271"/>
    </row>
    <row r="25" spans="1:19" ht="20.25" x14ac:dyDescent="0.25">
      <c r="A25" s="58">
        <v>2310</v>
      </c>
      <c r="B25" s="17" t="s">
        <v>28</v>
      </c>
      <c r="C25" s="5">
        <v>40</v>
      </c>
      <c r="D25" s="6">
        <v>3.6330608537693009E-2</v>
      </c>
      <c r="E25" s="20">
        <v>3.7248197183443045E-4</v>
      </c>
      <c r="F25" s="270" t="s">
        <v>29</v>
      </c>
      <c r="G25" s="271"/>
      <c r="H25" s="272"/>
      <c r="J25" s="58">
        <v>2310</v>
      </c>
      <c r="K25" s="17" t="s">
        <v>28</v>
      </c>
      <c r="L25" s="5">
        <v>40</v>
      </c>
      <c r="M25" s="108">
        <v>3.6363636363636362E-2</v>
      </c>
      <c r="N25" s="20">
        <v>3.8271515900334028E-4</v>
      </c>
      <c r="O25" s="271" t="s">
        <v>29</v>
      </c>
      <c r="P25" s="271"/>
      <c r="Q25" s="271"/>
    </row>
    <row r="26" spans="1:19" ht="41.25" x14ac:dyDescent="0.25">
      <c r="A26" s="102">
        <v>2321</v>
      </c>
      <c r="B26" s="224" t="s">
        <v>181</v>
      </c>
      <c r="C26" s="91">
        <v>51641.999999999993</v>
      </c>
      <c r="D26" s="86">
        <v>46.904632152588547</v>
      </c>
      <c r="E26" s="20">
        <v>0.48089284973684138</v>
      </c>
      <c r="F26" s="92">
        <v>1200</v>
      </c>
      <c r="G26" s="273">
        <v>45</v>
      </c>
      <c r="H26" s="274"/>
      <c r="J26" s="102">
        <v>2321</v>
      </c>
      <c r="K26" s="84" t="s">
        <v>176</v>
      </c>
      <c r="L26" s="91">
        <v>42262</v>
      </c>
      <c r="M26" s="124">
        <v>38.42</v>
      </c>
      <c r="N26" s="20">
        <v>0.40435770124497916</v>
      </c>
      <c r="O26" s="113">
        <v>1625</v>
      </c>
      <c r="P26" s="313">
        <v>25</v>
      </c>
      <c r="Q26" s="313"/>
    </row>
    <row r="27" spans="1:19" ht="20.25" x14ac:dyDescent="0.25">
      <c r="A27" s="102">
        <v>2322</v>
      </c>
      <c r="B27" s="84" t="s">
        <v>141</v>
      </c>
      <c r="C27" s="91">
        <v>500</v>
      </c>
      <c r="D27" s="86">
        <v>0.45413260672116257</v>
      </c>
      <c r="E27" s="20">
        <v>4.6560246479303803E-3</v>
      </c>
      <c r="F27" s="64" t="s">
        <v>32</v>
      </c>
      <c r="G27" s="18"/>
      <c r="H27" s="19"/>
      <c r="J27" s="102">
        <v>2233</v>
      </c>
      <c r="K27" s="84" t="s">
        <v>86</v>
      </c>
      <c r="L27" s="91">
        <v>2000</v>
      </c>
      <c r="M27" s="124">
        <v>1.8181818181818181</v>
      </c>
      <c r="N27" s="20">
        <v>1.9135757950167014E-2</v>
      </c>
      <c r="O27" s="114"/>
      <c r="P27" s="66"/>
      <c r="Q27" s="66"/>
    </row>
    <row r="28" spans="1:19" ht="37.5" x14ac:dyDescent="0.25">
      <c r="A28" s="102">
        <v>2350</v>
      </c>
      <c r="B28" s="84" t="s">
        <v>67</v>
      </c>
      <c r="C28" s="91">
        <v>250</v>
      </c>
      <c r="D28" s="86">
        <v>0.22706630336058128</v>
      </c>
      <c r="E28" s="20">
        <v>2.3280123239651901E-3</v>
      </c>
      <c r="F28" s="275" t="s">
        <v>34</v>
      </c>
      <c r="G28" s="276"/>
      <c r="H28" s="277"/>
      <c r="J28" s="102">
        <v>2350</v>
      </c>
      <c r="K28" s="84" t="s">
        <v>33</v>
      </c>
      <c r="L28" s="91">
        <v>100</v>
      </c>
      <c r="M28" s="124">
        <v>9.0909090909090912E-2</v>
      </c>
      <c r="N28" s="20">
        <v>9.5678789750835069E-4</v>
      </c>
      <c r="O28" s="276" t="s">
        <v>56</v>
      </c>
      <c r="P28" s="276"/>
      <c r="Q28" s="276"/>
    </row>
    <row r="29" spans="1:19" ht="21.6" customHeight="1" x14ac:dyDescent="0.25">
      <c r="A29" s="58">
        <v>2515</v>
      </c>
      <c r="B29" s="17" t="s">
        <v>35</v>
      </c>
      <c r="C29" s="5">
        <v>627.19000000000005</v>
      </c>
      <c r="D29" s="6">
        <v>0.56965485921889192</v>
      </c>
      <c r="E29" s="20">
        <v>5.8404241978709109E-3</v>
      </c>
      <c r="F29" s="278"/>
      <c r="G29" s="279"/>
      <c r="H29" s="280"/>
      <c r="J29" s="58">
        <v>2515</v>
      </c>
      <c r="K29" s="17" t="s">
        <v>35</v>
      </c>
      <c r="L29" s="5">
        <v>627.19000000000005</v>
      </c>
      <c r="M29" s="108">
        <v>0.57017272727272728</v>
      </c>
      <c r="N29" s="20">
        <v>6.0008780143826247E-3</v>
      </c>
      <c r="O29" s="279"/>
      <c r="P29" s="279"/>
      <c r="Q29" s="279"/>
    </row>
    <row r="30" spans="1:19" ht="22.9" customHeight="1" thickBot="1" x14ac:dyDescent="0.3">
      <c r="A30" s="319" t="s">
        <v>180</v>
      </c>
      <c r="B30" s="319"/>
      <c r="C30" s="106">
        <v>60857.081899999997</v>
      </c>
      <c r="D30" s="104">
        <v>55.274370481380558</v>
      </c>
      <c r="E30" s="105">
        <v>0.56670414665503555</v>
      </c>
      <c r="F30" s="329"/>
      <c r="G30" s="258"/>
      <c r="H30" s="259"/>
      <c r="J30" s="319" t="s">
        <v>180</v>
      </c>
      <c r="K30" s="319"/>
      <c r="L30" s="106">
        <v>52864.751900000003</v>
      </c>
      <c r="M30" s="106">
        <v>48.058865363636372</v>
      </c>
      <c r="N30" s="105">
        <v>0.5058035482270159</v>
      </c>
      <c r="O30" s="279"/>
      <c r="P30" s="279"/>
      <c r="Q30" s="279"/>
      <c r="R30" s="52">
        <v>60857.081899999997</v>
      </c>
      <c r="S30" s="52">
        <v>52864.751900000003</v>
      </c>
    </row>
    <row r="31" spans="1:19" ht="22.9" customHeight="1" thickBot="1" x14ac:dyDescent="0.3">
      <c r="A31" s="318" t="s">
        <v>37</v>
      </c>
      <c r="B31" s="318"/>
      <c r="C31" s="318"/>
      <c r="D31" s="318"/>
      <c r="E31" s="318"/>
      <c r="F31" s="96"/>
      <c r="G31" s="96"/>
      <c r="H31" s="97"/>
      <c r="J31" s="318" t="s">
        <v>37</v>
      </c>
      <c r="K31" s="318"/>
      <c r="L31" s="318"/>
      <c r="M31" s="318"/>
      <c r="N31" s="318"/>
      <c r="O31" s="318"/>
      <c r="P31" s="318"/>
      <c r="Q31" s="318"/>
    </row>
    <row r="32" spans="1:19" ht="42" customHeight="1" x14ac:dyDescent="0.3">
      <c r="A32" s="239" t="s">
        <v>38</v>
      </c>
      <c r="B32" s="239"/>
      <c r="C32" s="5">
        <v>334.92</v>
      </c>
      <c r="D32" s="6">
        <v>0.30419618528610354</v>
      </c>
      <c r="E32" s="20">
        <v>3.1187915501696864E-3</v>
      </c>
      <c r="F32" s="23"/>
      <c r="G32" s="24"/>
      <c r="H32" s="25"/>
      <c r="J32" s="239" t="s">
        <v>38</v>
      </c>
      <c r="K32" s="239"/>
      <c r="L32" s="5">
        <v>334.92</v>
      </c>
      <c r="M32" s="108">
        <v>0.30447272727272728</v>
      </c>
      <c r="N32" s="20">
        <v>3.2044740263349682E-3</v>
      </c>
      <c r="O32" s="58"/>
      <c r="P32" s="115"/>
      <c r="Q32" s="115"/>
    </row>
    <row r="33" spans="1:19" ht="40.9" customHeight="1" x14ac:dyDescent="0.3">
      <c r="A33" s="325" t="s">
        <v>183</v>
      </c>
      <c r="B33" s="325"/>
      <c r="C33" s="226">
        <v>3136.8</v>
      </c>
      <c r="D33" s="56">
        <v>2.8490463215258859</v>
      </c>
      <c r="E33" s="20">
        <v>2.9210036231256037E-2</v>
      </c>
      <c r="F33" s="27"/>
      <c r="G33" s="28"/>
      <c r="H33" s="29"/>
      <c r="J33" s="325" t="s">
        <v>184</v>
      </c>
      <c r="K33" s="325"/>
      <c r="L33" s="226">
        <v>27876.1</v>
      </c>
      <c r="M33" s="122">
        <v>25.341909090909091</v>
      </c>
      <c r="N33" s="20">
        <v>0.2667151510973253</v>
      </c>
      <c r="O33" s="58"/>
      <c r="P33" s="115"/>
      <c r="Q33" s="115"/>
    </row>
    <row r="34" spans="1:19" ht="39" customHeight="1" x14ac:dyDescent="0.3">
      <c r="A34" s="239" t="s">
        <v>39</v>
      </c>
      <c r="B34" s="239"/>
      <c r="C34" s="5">
        <v>93.24</v>
      </c>
      <c r="D34" s="6">
        <v>8.4686648501362399E-2</v>
      </c>
      <c r="E34" s="20">
        <v>8.6825547634605729E-4</v>
      </c>
      <c r="F34" s="30"/>
      <c r="G34" s="31"/>
      <c r="H34" s="32"/>
      <c r="J34" s="239" t="s">
        <v>39</v>
      </c>
      <c r="K34" s="239"/>
      <c r="L34" s="5">
        <v>93.24</v>
      </c>
      <c r="M34" s="108">
        <v>8.476363636363636E-2</v>
      </c>
      <c r="N34" s="20">
        <v>8.9210903563678604E-4</v>
      </c>
      <c r="O34" s="58"/>
      <c r="P34" s="115"/>
      <c r="Q34" s="115"/>
    </row>
    <row r="35" spans="1:19" ht="39" customHeight="1" x14ac:dyDescent="0.3">
      <c r="A35" s="239" t="s">
        <v>40</v>
      </c>
      <c r="B35" s="239"/>
      <c r="C35" s="5">
        <v>93.24</v>
      </c>
      <c r="D35" s="6">
        <v>8.4686648501362399E-2</v>
      </c>
      <c r="E35" s="20">
        <v>8.6825547634605729E-4</v>
      </c>
      <c r="F35" s="30"/>
      <c r="G35" s="31"/>
      <c r="H35" s="32"/>
      <c r="J35" s="239" t="s">
        <v>40</v>
      </c>
      <c r="K35" s="239"/>
      <c r="L35" s="5">
        <v>93.24</v>
      </c>
      <c r="M35" s="108">
        <v>8.476363636363636E-2</v>
      </c>
      <c r="N35" s="20">
        <v>8.9210903563678604E-4</v>
      </c>
      <c r="O35" s="58"/>
      <c r="P35" s="115"/>
      <c r="Q35" s="115"/>
    </row>
    <row r="36" spans="1:19" ht="39" customHeight="1" x14ac:dyDescent="0.3">
      <c r="A36" s="239" t="s">
        <v>40</v>
      </c>
      <c r="B36" s="239"/>
      <c r="C36" s="5">
        <v>93.24</v>
      </c>
      <c r="D36" s="6">
        <v>8.4686648501362399E-2</v>
      </c>
      <c r="E36" s="20">
        <v>8.6825547634605729E-4</v>
      </c>
      <c r="F36" s="30"/>
      <c r="G36" s="31"/>
      <c r="H36" s="32"/>
      <c r="J36" s="239" t="s">
        <v>40</v>
      </c>
      <c r="K36" s="239"/>
      <c r="L36" s="5">
        <v>93.24</v>
      </c>
      <c r="M36" s="108">
        <v>8.476363636363636E-2</v>
      </c>
      <c r="N36" s="20">
        <v>8.9210903563678604E-4</v>
      </c>
      <c r="O36" s="58"/>
      <c r="P36" s="115"/>
      <c r="Q36" s="115"/>
    </row>
    <row r="37" spans="1:19" ht="39" customHeight="1" x14ac:dyDescent="0.3">
      <c r="A37" s="239" t="s">
        <v>41</v>
      </c>
      <c r="B37" s="239"/>
      <c r="C37" s="5">
        <v>93.24</v>
      </c>
      <c r="D37" s="6">
        <v>8.4686648501362399E-2</v>
      </c>
      <c r="E37" s="20">
        <v>8.6825547634605729E-4</v>
      </c>
      <c r="F37" s="30"/>
      <c r="G37" s="31"/>
      <c r="H37" s="32"/>
      <c r="J37" s="239" t="s">
        <v>41</v>
      </c>
      <c r="K37" s="239"/>
      <c r="L37" s="5">
        <v>93.24</v>
      </c>
      <c r="M37" s="108">
        <v>8.476363636363636E-2</v>
      </c>
      <c r="N37" s="20">
        <v>8.9210903563678604E-4</v>
      </c>
      <c r="O37" s="58"/>
      <c r="P37" s="115"/>
      <c r="Q37" s="115"/>
    </row>
    <row r="38" spans="1:19" ht="39" customHeight="1" x14ac:dyDescent="0.3">
      <c r="A38" s="239" t="s">
        <v>42</v>
      </c>
      <c r="B38" s="239"/>
      <c r="C38" s="5">
        <v>35.64</v>
      </c>
      <c r="D38" s="6">
        <v>3.2370572207084468E-2</v>
      </c>
      <c r="E38" s="20">
        <v>3.3188143690447751E-4</v>
      </c>
      <c r="F38" s="30"/>
      <c r="G38" s="31"/>
      <c r="H38" s="32"/>
      <c r="J38" s="239" t="s">
        <v>42</v>
      </c>
      <c r="K38" s="239"/>
      <c r="L38" s="5">
        <v>35.64</v>
      </c>
      <c r="M38" s="108">
        <v>3.2399999999999998E-2</v>
      </c>
      <c r="N38" s="20">
        <v>3.4099920667197617E-4</v>
      </c>
      <c r="O38" s="58"/>
      <c r="P38" s="115"/>
      <c r="Q38" s="115"/>
    </row>
    <row r="39" spans="1:19" ht="39" customHeight="1" x14ac:dyDescent="0.3">
      <c r="A39" s="239" t="s">
        <v>45</v>
      </c>
      <c r="B39" s="239"/>
      <c r="C39" s="5">
        <v>91.68</v>
      </c>
      <c r="D39" s="6">
        <v>8.3269754768392379E-2</v>
      </c>
      <c r="E39" s="20">
        <v>8.5372867944451464E-4</v>
      </c>
      <c r="F39" s="30"/>
      <c r="G39" s="31"/>
      <c r="H39" s="32"/>
      <c r="J39" s="239" t="s">
        <v>45</v>
      </c>
      <c r="K39" s="239"/>
      <c r="L39" s="5">
        <v>91.68</v>
      </c>
      <c r="M39" s="108">
        <v>8.3345454545454556E-2</v>
      </c>
      <c r="N39" s="20">
        <v>8.7718314443565595E-4</v>
      </c>
      <c r="O39" s="58"/>
      <c r="P39" s="115"/>
      <c r="Q39" s="115"/>
    </row>
    <row r="40" spans="1:19" ht="39" customHeight="1" x14ac:dyDescent="0.3">
      <c r="A40" s="239" t="s">
        <v>46</v>
      </c>
      <c r="B40" s="239"/>
      <c r="C40" s="5">
        <v>81.599999999999994</v>
      </c>
      <c r="D40" s="6">
        <v>7.4114441416893731E-2</v>
      </c>
      <c r="E40" s="20">
        <v>7.5986322254223805E-4</v>
      </c>
      <c r="F40" s="30"/>
      <c r="G40" s="31"/>
      <c r="H40" s="32"/>
      <c r="J40" s="239" t="s">
        <v>46</v>
      </c>
      <c r="K40" s="239"/>
      <c r="L40" s="5">
        <v>81.599999999999994</v>
      </c>
      <c r="M40" s="108">
        <v>7.4181818181818182E-2</v>
      </c>
      <c r="N40" s="20">
        <v>7.8073892436681411E-4</v>
      </c>
      <c r="O40" s="58"/>
      <c r="P40" s="115"/>
      <c r="Q40" s="115"/>
    </row>
    <row r="41" spans="1:19" ht="39" customHeight="1" x14ac:dyDescent="0.3">
      <c r="A41" s="239" t="s">
        <v>47</v>
      </c>
      <c r="B41" s="239"/>
      <c r="C41" s="5">
        <v>271.68</v>
      </c>
      <c r="D41" s="6">
        <v>0.24675749318801091</v>
      </c>
      <c r="E41" s="20">
        <v>2.5298975526994514E-3</v>
      </c>
      <c r="F41" s="30"/>
      <c r="G41" s="31"/>
      <c r="H41" s="32"/>
      <c r="J41" s="239" t="s">
        <v>47</v>
      </c>
      <c r="K41" s="239"/>
      <c r="L41" s="5">
        <v>271.68</v>
      </c>
      <c r="M41" s="108">
        <v>0.24698181818181819</v>
      </c>
      <c r="N41" s="20">
        <v>2.5994013599506872E-3</v>
      </c>
      <c r="O41" s="58"/>
      <c r="P41" s="115"/>
      <c r="Q41" s="115"/>
    </row>
    <row r="42" spans="1:19" ht="39" customHeight="1" x14ac:dyDescent="0.3">
      <c r="A42" s="340" t="s">
        <v>48</v>
      </c>
      <c r="B42" s="340"/>
      <c r="C42" s="91">
        <v>77.040000000000006</v>
      </c>
      <c r="D42" s="86">
        <v>6.9972752043596737E-2</v>
      </c>
      <c r="E42" s="20">
        <v>7.1740027775311313E-4</v>
      </c>
      <c r="F42" s="30"/>
      <c r="G42" s="31"/>
      <c r="H42" s="32"/>
      <c r="J42" s="239"/>
      <c r="K42" s="239"/>
      <c r="L42" s="123"/>
      <c r="M42" s="123"/>
      <c r="N42" s="20"/>
      <c r="O42" s="58"/>
      <c r="P42" s="115"/>
      <c r="Q42" s="115"/>
    </row>
    <row r="43" spans="1:19" ht="58.9" customHeight="1" x14ac:dyDescent="0.3">
      <c r="A43" s="342" t="s">
        <v>187</v>
      </c>
      <c r="B43" s="342"/>
      <c r="C43" s="141"/>
      <c r="D43" s="142">
        <v>0</v>
      </c>
      <c r="E43" s="20">
        <v>0</v>
      </c>
      <c r="F43" s="30"/>
      <c r="G43" s="31"/>
      <c r="H43" s="32"/>
      <c r="J43" s="341" t="s">
        <v>186</v>
      </c>
      <c r="K43" s="341"/>
      <c r="L43" s="227">
        <v>9916.68</v>
      </c>
      <c r="M43" s="122">
        <v>9.0151636363636367</v>
      </c>
      <c r="N43" s="20">
        <v>9.4881594074631107E-2</v>
      </c>
      <c r="O43" s="58"/>
      <c r="P43" s="115"/>
      <c r="Q43" s="115"/>
      <c r="R43" s="52">
        <v>4402.3199999999988</v>
      </c>
      <c r="S43" s="52">
        <v>38981.26</v>
      </c>
    </row>
    <row r="44" spans="1:19" ht="23.45" customHeight="1" x14ac:dyDescent="0.3">
      <c r="A44" s="319" t="s">
        <v>50</v>
      </c>
      <c r="B44" s="319"/>
      <c r="C44" s="106">
        <v>4402.3199999999988</v>
      </c>
      <c r="D44" s="104">
        <v>3.9984741144414158</v>
      </c>
      <c r="E44" s="105">
        <v>4.0994620856153748E-2</v>
      </c>
      <c r="F44" s="30"/>
      <c r="G44" s="33"/>
      <c r="H44" s="34"/>
      <c r="J44" s="319" t="s">
        <v>50</v>
      </c>
      <c r="K44" s="319"/>
      <c r="L44" s="106">
        <v>38981.26</v>
      </c>
      <c r="M44" s="106">
        <v>35.437509090909089</v>
      </c>
      <c r="N44" s="105">
        <v>0.37296797797626363</v>
      </c>
      <c r="O44" s="58"/>
      <c r="P44" s="117"/>
      <c r="Q44" s="117"/>
    </row>
    <row r="45" spans="1:19" ht="24" thickBot="1" x14ac:dyDescent="0.4">
      <c r="A45" s="320" t="s">
        <v>51</v>
      </c>
      <c r="B45" s="320"/>
      <c r="C45" s="321">
        <v>107387.74766199998</v>
      </c>
      <c r="D45" s="322">
        <v>97.625225147272715</v>
      </c>
      <c r="E45" s="323">
        <v>1.0000000000000002</v>
      </c>
      <c r="F45" s="99"/>
      <c r="G45" s="36"/>
      <c r="H45" s="37"/>
      <c r="J45" s="320" t="s">
        <v>51</v>
      </c>
      <c r="K45" s="320"/>
      <c r="L45" s="321">
        <v>104516.37218700002</v>
      </c>
      <c r="M45" s="322">
        <v>95.014883806363656</v>
      </c>
      <c r="N45" s="323">
        <v>0.99999999999999989</v>
      </c>
      <c r="O45" s="118"/>
      <c r="P45" s="119"/>
      <c r="Q45" s="119"/>
      <c r="R45" s="125">
        <v>107387.74766199998</v>
      </c>
      <c r="S45" s="125">
        <v>104516.372187</v>
      </c>
    </row>
    <row r="46" spans="1:19" ht="68.45" customHeight="1" thickBot="1" x14ac:dyDescent="0.3">
      <c r="A46" s="324" t="s">
        <v>60</v>
      </c>
      <c r="B46" s="324"/>
      <c r="C46" s="321"/>
      <c r="D46" s="322"/>
      <c r="E46" s="323"/>
      <c r="F46" s="100">
        <v>1100</v>
      </c>
      <c r="G46" s="71">
        <v>1101</v>
      </c>
      <c r="H46" s="39"/>
      <c r="J46" s="324" t="s">
        <v>60</v>
      </c>
      <c r="K46" s="324"/>
      <c r="L46" s="321"/>
      <c r="M46" s="322"/>
      <c r="N46" s="323"/>
      <c r="O46" s="120">
        <v>1100</v>
      </c>
      <c r="P46" s="121">
        <v>1100</v>
      </c>
      <c r="Q46" s="120"/>
    </row>
    <row r="48" spans="1:19" hidden="1" x14ac:dyDescent="0.25">
      <c r="B48">
        <v>1100</v>
      </c>
      <c r="D48" s="52">
        <v>97.625225147272715</v>
      </c>
      <c r="K48">
        <v>1100</v>
      </c>
      <c r="M48" s="125">
        <v>95.014883806363656</v>
      </c>
    </row>
    <row r="49" spans="10:10" s="130" customFormat="1" ht="23.25" x14ac:dyDescent="0.35">
      <c r="J49" s="168"/>
    </row>
  </sheetData>
  <mergeCells count="101">
    <mergeCell ref="A4:H4"/>
    <mergeCell ref="J4:Q4"/>
    <mergeCell ref="B5:D5"/>
    <mergeCell ref="K5:M5"/>
    <mergeCell ref="A6:H6"/>
    <mergeCell ref="J6:Q6"/>
    <mergeCell ref="A1:H1"/>
    <mergeCell ref="J1:Q1"/>
    <mergeCell ref="A2:H2"/>
    <mergeCell ref="J2:Q2"/>
    <mergeCell ref="A3:H3"/>
    <mergeCell ref="J3:Q3"/>
    <mergeCell ref="F10:H10"/>
    <mergeCell ref="O10:Q10"/>
    <mergeCell ref="F11:H11"/>
    <mergeCell ref="O11:Q11"/>
    <mergeCell ref="F12:H12"/>
    <mergeCell ref="O12:Q12"/>
    <mergeCell ref="F7:H7"/>
    <mergeCell ref="O7:Q7"/>
    <mergeCell ref="A8:E8"/>
    <mergeCell ref="J8:Q8"/>
    <mergeCell ref="F9:H9"/>
    <mergeCell ref="O9:Q9"/>
    <mergeCell ref="F17:H17"/>
    <mergeCell ref="O17:Q17"/>
    <mergeCell ref="A18:B18"/>
    <mergeCell ref="F18:H18"/>
    <mergeCell ref="J18:K18"/>
    <mergeCell ref="O18:Q18"/>
    <mergeCell ref="F13:H13"/>
    <mergeCell ref="F14:H14"/>
    <mergeCell ref="O14:Q14"/>
    <mergeCell ref="F15:H15"/>
    <mergeCell ref="O15:Q15"/>
    <mergeCell ref="F16:H16"/>
    <mergeCell ref="O16:Q16"/>
    <mergeCell ref="A22:A23"/>
    <mergeCell ref="G22:H22"/>
    <mergeCell ref="J22:J23"/>
    <mergeCell ref="P22:Q22"/>
    <mergeCell ref="G23:H23"/>
    <mergeCell ref="P23:Q23"/>
    <mergeCell ref="A19:A20"/>
    <mergeCell ref="F19:G19"/>
    <mergeCell ref="J19:J20"/>
    <mergeCell ref="O19:P19"/>
    <mergeCell ref="G21:H21"/>
    <mergeCell ref="P21:Q21"/>
    <mergeCell ref="F28:H28"/>
    <mergeCell ref="O28:Q28"/>
    <mergeCell ref="F29:H29"/>
    <mergeCell ref="O29:Q29"/>
    <mergeCell ref="A30:B30"/>
    <mergeCell ref="F30:H30"/>
    <mergeCell ref="J30:K30"/>
    <mergeCell ref="O30:Q30"/>
    <mergeCell ref="F24:H24"/>
    <mergeCell ref="O24:Q24"/>
    <mergeCell ref="F25:H25"/>
    <mergeCell ref="O25:Q25"/>
    <mergeCell ref="G26:H26"/>
    <mergeCell ref="P26:Q26"/>
    <mergeCell ref="A34:B34"/>
    <mergeCell ref="J34:K34"/>
    <mergeCell ref="A35:B35"/>
    <mergeCell ref="J35:K35"/>
    <mergeCell ref="A36:B36"/>
    <mergeCell ref="J36:K36"/>
    <mergeCell ref="A31:E31"/>
    <mergeCell ref="J31:Q31"/>
    <mergeCell ref="A32:B32"/>
    <mergeCell ref="J32:K32"/>
    <mergeCell ref="A33:B33"/>
    <mergeCell ref="J33:K33"/>
    <mergeCell ref="A40:B40"/>
    <mergeCell ref="J40:K40"/>
    <mergeCell ref="A41:B41"/>
    <mergeCell ref="J41:K41"/>
    <mergeCell ref="A42:B42"/>
    <mergeCell ref="J42:K42"/>
    <mergeCell ref="A37:B37"/>
    <mergeCell ref="J37:K37"/>
    <mergeCell ref="A38:B38"/>
    <mergeCell ref="J38:K38"/>
    <mergeCell ref="A39:B39"/>
    <mergeCell ref="J39:K39"/>
    <mergeCell ref="L45:L46"/>
    <mergeCell ref="M45:M46"/>
    <mergeCell ref="N45:N46"/>
    <mergeCell ref="A46:B46"/>
    <mergeCell ref="J46:K46"/>
    <mergeCell ref="A43:B43"/>
    <mergeCell ref="J43:K43"/>
    <mergeCell ref="A44:B44"/>
    <mergeCell ref="J44:K44"/>
    <mergeCell ref="A45:B45"/>
    <mergeCell ref="C45:C46"/>
    <mergeCell ref="D45:D46"/>
    <mergeCell ref="E45:E46"/>
    <mergeCell ref="J45:K45"/>
  </mergeCells>
  <pageMargins left="0.7" right="0.7" top="0.75" bottom="0.75" header="0.3" footer="0.3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16</vt:i4>
      </vt:variant>
    </vt:vector>
  </HeadingPairs>
  <TitlesOfParts>
    <vt:vector size="16" baseType="lpstr">
      <vt:lpstr>Malka</vt:lpstr>
      <vt:lpstr>Šķelda</vt:lpstr>
      <vt:lpstr>Salīdzinājums</vt:lpstr>
      <vt:lpstr>Apkopojums</vt:lpstr>
      <vt:lpstr>Precizējumi</vt:lpstr>
      <vt:lpstr>KOPĀ</vt:lpstr>
      <vt:lpstr>Salīdzinājums min alga 700</vt:lpstr>
      <vt:lpstr>Salīdzinājums min alga 700_</vt:lpstr>
      <vt:lpstr>Salīdzinājums min alga 730</vt:lpstr>
      <vt:lpstr>Salīdzinājums min alga 750</vt:lpstr>
      <vt:lpstr>Salīdzinājums min alga 810</vt:lpstr>
      <vt:lpstr>Katli</vt:lpstr>
      <vt:lpstr>Īsais</vt:lpstr>
      <vt:lpstr>Algas</vt:lpstr>
      <vt:lpstr>Salīdzinājums 810</vt:lpstr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Bašķere</cp:lastModifiedBy>
  <cp:lastPrinted>2024-08-22T05:44:59Z</cp:lastPrinted>
  <dcterms:created xsi:type="dcterms:W3CDTF">2015-06-05T18:19:34Z</dcterms:created>
  <dcterms:modified xsi:type="dcterms:W3CDTF">2024-08-26T06:01:53Z</dcterms:modified>
</cp:coreProperties>
</file>